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codeName="ThisWorkbook" defaultThemeVersion="124226"/>
  <xr:revisionPtr revIDLastSave="0" documentId="11_3E2AC0833B057D8CA66A52FE32330F341A1AF319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ogramme annuel" sheetId="5" r:id="rId1"/>
    <sheet name="prévisions hebdomadaires" sheetId="3" r:id="rId2"/>
    <sheet name="D%$&amp;01_DevSheet" sheetId="6" state="veryHidden" r:id="rId3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5" l="1"/>
  <c r="F2" i="6" l="1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AP2" i="6"/>
  <c r="AQ2" i="6"/>
  <c r="AR2" i="6"/>
  <c r="AS2" i="6"/>
  <c r="AT2" i="6"/>
  <c r="AU2" i="6"/>
  <c r="AV2" i="6"/>
  <c r="AW2" i="6"/>
  <c r="AX2" i="6"/>
  <c r="AY2" i="6"/>
  <c r="AZ2" i="6"/>
  <c r="BA2" i="6"/>
  <c r="BB2" i="6"/>
  <c r="BC2" i="6"/>
  <c r="BD2" i="6"/>
  <c r="BE2" i="6"/>
  <c r="BF2" i="6"/>
  <c r="BG2" i="6"/>
  <c r="BH2" i="6"/>
  <c r="BI2" i="6"/>
  <c r="BJ2" i="6"/>
  <c r="BK2" i="6"/>
  <c r="BL2" i="6"/>
  <c r="BM2" i="6"/>
  <c r="BN2" i="6"/>
  <c r="BO2" i="6"/>
  <c r="BP2" i="6"/>
  <c r="BQ2" i="6"/>
  <c r="BR2" i="6"/>
  <c r="BS2" i="6"/>
  <c r="BT2" i="6"/>
  <c r="BU2" i="6"/>
  <c r="BV2" i="6"/>
  <c r="BW2" i="6"/>
  <c r="BX2" i="6"/>
  <c r="BY2" i="6"/>
  <c r="BZ2" i="6"/>
  <c r="CA2" i="6"/>
  <c r="CB2" i="6"/>
  <c r="CC2" i="6"/>
  <c r="CD2" i="6"/>
  <c r="CE2" i="6"/>
  <c r="CF2" i="6"/>
  <c r="CG2" i="6"/>
  <c r="CH2" i="6"/>
  <c r="CI2" i="6"/>
  <c r="CJ2" i="6"/>
  <c r="CK2" i="6"/>
  <c r="CL2" i="6"/>
  <c r="CM2" i="6"/>
  <c r="CN2" i="6"/>
  <c r="CO2" i="6"/>
  <c r="CP2" i="6"/>
  <c r="CQ2" i="6"/>
  <c r="CR2" i="6"/>
  <c r="CS2" i="6"/>
  <c r="CT2" i="6"/>
  <c r="CU2" i="6"/>
  <c r="CV2" i="6"/>
  <c r="CW2" i="6"/>
  <c r="CX2" i="6"/>
  <c r="CY2" i="6"/>
  <c r="DA2" i="6"/>
  <c r="DB2" i="6"/>
  <c r="DC2" i="6"/>
  <c r="DD2" i="6"/>
  <c r="DE2" i="6"/>
  <c r="DF2" i="6"/>
  <c r="DG2" i="6"/>
  <c r="DI2" i="6"/>
  <c r="DJ2" i="6"/>
  <c r="DK2" i="6"/>
  <c r="DL2" i="6"/>
  <c r="DM2" i="6"/>
  <c r="DN2" i="6"/>
  <c r="DO2" i="6"/>
  <c r="DP2" i="6"/>
  <c r="DQ2" i="6"/>
  <c r="DR2" i="6"/>
  <c r="DS2" i="6"/>
  <c r="DT2" i="6"/>
  <c r="DU2" i="6"/>
  <c r="DV2" i="6"/>
  <c r="DW2" i="6"/>
  <c r="DX2" i="6"/>
  <c r="DY2" i="6"/>
  <c r="DZ2" i="6"/>
  <c r="EA2" i="6"/>
  <c r="EB2" i="6"/>
  <c r="EC2" i="6"/>
  <c r="ED2" i="6"/>
  <c r="EE2" i="6"/>
  <c r="EF2" i="6"/>
  <c r="EG2" i="6"/>
  <c r="EH2" i="6"/>
  <c r="EI2" i="6"/>
  <c r="EJ2" i="6"/>
  <c r="EK2" i="6"/>
  <c r="EL2" i="6"/>
  <c r="EM2" i="6"/>
  <c r="EN2" i="6"/>
  <c r="EO2" i="6"/>
  <c r="EP2" i="6"/>
  <c r="EQ2" i="6"/>
  <c r="ER2" i="6"/>
  <c r="ES2" i="6"/>
  <c r="ET2" i="6"/>
  <c r="EU2" i="6"/>
  <c r="EV2" i="6"/>
  <c r="EW2" i="6"/>
  <c r="EX2" i="6"/>
  <c r="EY2" i="6"/>
  <c r="EZ2" i="6"/>
  <c r="FA2" i="6"/>
  <c r="FB2" i="6"/>
  <c r="FC2" i="6"/>
  <c r="FD2" i="6"/>
  <c r="FE2" i="6"/>
  <c r="FF2" i="6"/>
  <c r="FG2" i="6"/>
  <c r="FH2" i="6"/>
  <c r="FI2" i="6"/>
  <c r="FJ2" i="6"/>
  <c r="FK2" i="6"/>
  <c r="FL2" i="6"/>
  <c r="FM2" i="6"/>
  <c r="FN2" i="6"/>
  <c r="FO2" i="6"/>
  <c r="FP2" i="6"/>
  <c r="FQ2" i="6"/>
  <c r="FR2" i="6"/>
  <c r="FS2" i="6"/>
  <c r="FT2" i="6"/>
  <c r="FU2" i="6"/>
  <c r="FV2" i="6"/>
  <c r="FW2" i="6"/>
  <c r="FX2" i="6"/>
  <c r="FY2" i="6"/>
  <c r="FZ2" i="6"/>
  <c r="GA2" i="6"/>
  <c r="GB2" i="6"/>
  <c r="GC2" i="6"/>
  <c r="GD2" i="6"/>
  <c r="GE2" i="6"/>
  <c r="GF2" i="6"/>
  <c r="GG2" i="6"/>
  <c r="GH2" i="6"/>
  <c r="GI2" i="6"/>
  <c r="GJ2" i="6"/>
  <c r="GK2" i="6"/>
  <c r="GL2" i="6"/>
  <c r="GM2" i="6"/>
  <c r="GN2" i="6"/>
  <c r="GO2" i="6"/>
  <c r="GP2" i="6"/>
  <c r="GQ2" i="6"/>
  <c r="GR2" i="6"/>
  <c r="GS2" i="6"/>
  <c r="GT2" i="6"/>
  <c r="GU2" i="6"/>
  <c r="GV2" i="6"/>
  <c r="GW2" i="6"/>
  <c r="GX2" i="6"/>
  <c r="GY2" i="6"/>
  <c r="GZ2" i="6"/>
  <c r="HA2" i="6"/>
  <c r="HB2" i="6"/>
  <c r="HC2" i="6"/>
  <c r="HD2" i="6"/>
  <c r="HE2" i="6"/>
  <c r="HF2" i="6"/>
  <c r="HG2" i="6"/>
  <c r="HH2" i="6"/>
  <c r="HI2" i="6"/>
  <c r="HJ2" i="6"/>
  <c r="HK2" i="6"/>
  <c r="HL2" i="6"/>
  <c r="HM2" i="6"/>
  <c r="HN2" i="6"/>
  <c r="HO2" i="6"/>
  <c r="HP2" i="6"/>
  <c r="HQ2" i="6"/>
  <c r="HR2" i="6"/>
  <c r="HS2" i="6"/>
  <c r="HT2" i="6"/>
  <c r="HU2" i="6"/>
  <c r="HV2" i="6"/>
  <c r="HW2" i="6"/>
  <c r="HX2" i="6"/>
  <c r="HY2" i="6"/>
  <c r="HZ2" i="6"/>
  <c r="IA2" i="6"/>
  <c r="IB2" i="6"/>
  <c r="IC2" i="6"/>
  <c r="ID2" i="6"/>
  <c r="IE2" i="6"/>
  <c r="IF2" i="6"/>
  <c r="IG2" i="6"/>
  <c r="IH2" i="6"/>
  <c r="II2" i="6"/>
  <c r="IJ2" i="6"/>
  <c r="IK2" i="6"/>
  <c r="IL2" i="6"/>
  <c r="IM2" i="6"/>
  <c r="IN2" i="6"/>
  <c r="IO2" i="6"/>
  <c r="IP2" i="6"/>
  <c r="IQ2" i="6"/>
  <c r="IR2" i="6"/>
  <c r="IS2" i="6"/>
  <c r="IT2" i="6"/>
  <c r="IU2" i="6"/>
  <c r="IV2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BG3" i="6"/>
  <c r="BH3" i="6"/>
  <c r="BI3" i="6"/>
  <c r="BJ3" i="6"/>
  <c r="BK3" i="6"/>
  <c r="BL3" i="6"/>
  <c r="BM3" i="6"/>
  <c r="BN3" i="6"/>
  <c r="BO3" i="6"/>
  <c r="BP3" i="6"/>
  <c r="BQ3" i="6"/>
  <c r="BR3" i="6"/>
  <c r="BS3" i="6"/>
  <c r="BT3" i="6"/>
  <c r="BU3" i="6"/>
  <c r="BV3" i="6"/>
  <c r="BW3" i="6"/>
  <c r="BX3" i="6"/>
  <c r="BY3" i="6"/>
  <c r="BZ3" i="6"/>
  <c r="CA3" i="6"/>
  <c r="CB3" i="6"/>
  <c r="CC3" i="6"/>
  <c r="CD3" i="6"/>
  <c r="CE3" i="6"/>
  <c r="CF3" i="6"/>
  <c r="CG3" i="6"/>
  <c r="CH3" i="6"/>
  <c r="CI3" i="6"/>
  <c r="CJ3" i="6"/>
  <c r="CK3" i="6"/>
  <c r="CL3" i="6"/>
  <c r="CM3" i="6"/>
  <c r="CN3" i="6"/>
  <c r="CO3" i="6"/>
  <c r="CP3" i="6"/>
  <c r="CQ3" i="6"/>
  <c r="CR3" i="6"/>
  <c r="CS3" i="6"/>
  <c r="CT3" i="6"/>
  <c r="CU3" i="6"/>
  <c r="CV3" i="6"/>
  <c r="CW3" i="6"/>
  <c r="CX3" i="6"/>
  <c r="CY3" i="6"/>
  <c r="CZ3" i="6"/>
  <c r="DA3" i="6"/>
  <c r="DB3" i="6"/>
  <c r="DC3" i="6"/>
  <c r="DD3" i="6"/>
  <c r="DE3" i="6"/>
  <c r="DF3" i="6"/>
  <c r="DG3" i="6"/>
  <c r="DH3" i="6"/>
  <c r="DI3" i="6"/>
  <c r="DJ3" i="6"/>
  <c r="DK3" i="6"/>
  <c r="DL3" i="6"/>
  <c r="DM3" i="6"/>
  <c r="DN3" i="6"/>
  <c r="DO3" i="6"/>
  <c r="DP3" i="6"/>
  <c r="DQ3" i="6"/>
  <c r="DR3" i="6"/>
  <c r="DS3" i="6"/>
  <c r="DT3" i="6"/>
  <c r="DU3" i="6"/>
  <c r="DV3" i="6"/>
  <c r="DW3" i="6"/>
  <c r="DX3" i="6"/>
  <c r="DY3" i="6"/>
  <c r="DZ3" i="6"/>
  <c r="EA3" i="6"/>
  <c r="EB3" i="6"/>
  <c r="EC3" i="6"/>
  <c r="ED3" i="6"/>
  <c r="EE3" i="6"/>
  <c r="EF3" i="6"/>
  <c r="EG3" i="6"/>
  <c r="EH3" i="6"/>
  <c r="EI3" i="6"/>
  <c r="EJ3" i="6"/>
  <c r="EK3" i="6"/>
  <c r="EL3" i="6"/>
  <c r="EM3" i="6"/>
  <c r="EN3" i="6"/>
  <c r="EO3" i="6"/>
  <c r="EP3" i="6"/>
  <c r="EQ3" i="6"/>
  <c r="ER3" i="6"/>
  <c r="ES3" i="6"/>
  <c r="ET3" i="6"/>
  <c r="EU3" i="6"/>
  <c r="EV3" i="6"/>
  <c r="EW3" i="6"/>
  <c r="EX3" i="6"/>
  <c r="EY3" i="6"/>
  <c r="EZ3" i="6"/>
  <c r="FA3" i="6"/>
  <c r="FB3" i="6"/>
  <c r="FC3" i="6"/>
  <c r="FD3" i="6"/>
  <c r="FE3" i="6"/>
  <c r="FF3" i="6"/>
  <c r="FG3" i="6"/>
  <c r="FH3" i="6"/>
  <c r="FI3" i="6"/>
  <c r="FJ3" i="6"/>
  <c r="FK3" i="6"/>
  <c r="FL3" i="6"/>
  <c r="FM3" i="6"/>
  <c r="FN3" i="6"/>
  <c r="FO3" i="6"/>
  <c r="FP3" i="6"/>
  <c r="FQ3" i="6"/>
  <c r="FR3" i="6"/>
  <c r="FS3" i="6"/>
  <c r="FT3" i="6"/>
  <c r="FU3" i="6"/>
  <c r="FV3" i="6"/>
  <c r="FW3" i="6"/>
  <c r="FX3" i="6"/>
  <c r="FY3" i="6"/>
  <c r="FZ3" i="6"/>
  <c r="GA3" i="6"/>
  <c r="GB3" i="6"/>
  <c r="GC3" i="6"/>
  <c r="GD3" i="6"/>
  <c r="GE3" i="6"/>
  <c r="GF3" i="6"/>
  <c r="GG3" i="6"/>
  <c r="GH3" i="6"/>
  <c r="GI3" i="6"/>
  <c r="GJ3" i="6"/>
  <c r="GK3" i="6"/>
  <c r="GL3" i="6"/>
  <c r="GM3" i="6"/>
  <c r="GN3" i="6"/>
  <c r="GO3" i="6"/>
  <c r="GP3" i="6"/>
  <c r="GQ3" i="6"/>
  <c r="GR3" i="6"/>
  <c r="GS3" i="6"/>
  <c r="GT3" i="6"/>
  <c r="GU3" i="6"/>
  <c r="GV3" i="6"/>
  <c r="GW3" i="6"/>
  <c r="GX3" i="6"/>
  <c r="GY3" i="6"/>
  <c r="GZ3" i="6"/>
  <c r="HA3" i="6"/>
  <c r="HB3" i="6"/>
  <c r="HC3" i="6"/>
  <c r="HD3" i="6"/>
  <c r="HE3" i="6"/>
  <c r="HF3" i="6"/>
  <c r="HG3" i="6"/>
  <c r="HH3" i="6"/>
  <c r="HI3" i="6"/>
  <c r="HJ3" i="6"/>
  <c r="HK3" i="6"/>
  <c r="HL3" i="6"/>
  <c r="HM3" i="6"/>
  <c r="HN3" i="6"/>
  <c r="HO3" i="6"/>
  <c r="HP3" i="6"/>
  <c r="HQ3" i="6"/>
  <c r="HR3" i="6"/>
  <c r="HS3" i="6"/>
  <c r="HT3" i="6"/>
  <c r="HU3" i="6"/>
  <c r="HV3" i="6"/>
  <c r="HW3" i="6"/>
  <c r="HX3" i="6"/>
  <c r="HY3" i="6"/>
  <c r="HZ3" i="6"/>
  <c r="IA3" i="6"/>
  <c r="IB3" i="6"/>
  <c r="IC3" i="6"/>
  <c r="ID3" i="6"/>
  <c r="IE3" i="6"/>
  <c r="IF3" i="6"/>
  <c r="IG3" i="6"/>
  <c r="IH3" i="6"/>
  <c r="II3" i="6"/>
  <c r="IJ3" i="6"/>
  <c r="IK3" i="6"/>
  <c r="IL3" i="6"/>
  <c r="IM3" i="6"/>
  <c r="IN3" i="6"/>
  <c r="IO3" i="6"/>
  <c r="IP3" i="6"/>
  <c r="IQ3" i="6"/>
  <c r="IR3" i="6"/>
  <c r="IS3" i="6"/>
  <c r="IT3" i="6"/>
  <c r="IU3" i="6"/>
  <c r="IV3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BC4" i="6"/>
  <c r="BD4" i="6"/>
  <c r="BE4" i="6"/>
  <c r="BF4" i="6"/>
  <c r="BG4" i="6"/>
  <c r="BH4" i="6"/>
  <c r="BI4" i="6"/>
  <c r="BJ4" i="6"/>
  <c r="BK4" i="6"/>
  <c r="BL4" i="6"/>
  <c r="BM4" i="6"/>
  <c r="BN4" i="6"/>
  <c r="BO4" i="6"/>
  <c r="BP4" i="6"/>
  <c r="BQ4" i="6"/>
  <c r="BR4" i="6"/>
  <c r="BS4" i="6"/>
  <c r="BT4" i="6"/>
  <c r="BU4" i="6"/>
  <c r="BV4" i="6"/>
  <c r="BW4" i="6"/>
  <c r="BX4" i="6"/>
  <c r="BY4" i="6"/>
  <c r="BZ4" i="6"/>
  <c r="CA4" i="6"/>
  <c r="CB4" i="6"/>
  <c r="CC4" i="6"/>
  <c r="CD4" i="6"/>
  <c r="CE4" i="6"/>
  <c r="CF4" i="6"/>
  <c r="CG4" i="6"/>
  <c r="CH4" i="6"/>
  <c r="CI4" i="6"/>
  <c r="CJ4" i="6"/>
  <c r="CK4" i="6"/>
  <c r="CL4" i="6"/>
  <c r="CM4" i="6"/>
  <c r="CN4" i="6"/>
  <c r="CO4" i="6"/>
  <c r="CP4" i="6"/>
  <c r="CQ4" i="6"/>
  <c r="CR4" i="6"/>
  <c r="CS4" i="6"/>
  <c r="CT4" i="6"/>
  <c r="CU4" i="6"/>
  <c r="CV4" i="6"/>
  <c r="CW4" i="6"/>
  <c r="CX4" i="6"/>
  <c r="CY4" i="6"/>
  <c r="CZ4" i="6"/>
  <c r="DA4" i="6"/>
  <c r="DB4" i="6"/>
  <c r="DC4" i="6"/>
  <c r="DD4" i="6"/>
  <c r="DE4" i="6"/>
  <c r="DF4" i="6"/>
  <c r="DG4" i="6"/>
  <c r="DH4" i="6"/>
  <c r="DI4" i="6"/>
  <c r="DJ4" i="6"/>
  <c r="DK4" i="6"/>
  <c r="DL4" i="6"/>
  <c r="DM4" i="6"/>
  <c r="DN4" i="6"/>
  <c r="DO4" i="6"/>
  <c r="DP4" i="6"/>
  <c r="DQ4" i="6"/>
  <c r="DR4" i="6"/>
  <c r="DS4" i="6"/>
  <c r="DT4" i="6"/>
  <c r="DU4" i="6"/>
  <c r="DV4" i="6"/>
  <c r="DW4" i="6"/>
  <c r="DX4" i="6"/>
  <c r="DY4" i="6"/>
  <c r="DZ4" i="6"/>
  <c r="EA4" i="6"/>
  <c r="EB4" i="6"/>
  <c r="EC4" i="6"/>
  <c r="ED4" i="6"/>
  <c r="EE4" i="6"/>
  <c r="EF4" i="6"/>
  <c r="EG4" i="6"/>
  <c r="EH4" i="6"/>
  <c r="EI4" i="6"/>
  <c r="EJ4" i="6"/>
  <c r="EK4" i="6"/>
  <c r="EL4" i="6"/>
  <c r="EM4" i="6"/>
  <c r="EN4" i="6"/>
  <c r="EO4" i="6"/>
  <c r="EP4" i="6"/>
  <c r="EQ4" i="6"/>
  <c r="ER4" i="6"/>
  <c r="ES4" i="6"/>
  <c r="ET4" i="6"/>
  <c r="EU4" i="6"/>
  <c r="EV4" i="6"/>
  <c r="EW4" i="6"/>
  <c r="EX4" i="6"/>
  <c r="EY4" i="6"/>
  <c r="EZ4" i="6"/>
  <c r="FA4" i="6"/>
  <c r="FB4" i="6"/>
  <c r="FC4" i="6"/>
  <c r="FD4" i="6"/>
  <c r="FE4" i="6"/>
  <c r="FF4" i="6"/>
  <c r="FG4" i="6"/>
  <c r="FH4" i="6"/>
  <c r="FI4" i="6"/>
  <c r="FJ4" i="6"/>
  <c r="FK4" i="6"/>
  <c r="FL4" i="6"/>
  <c r="FM4" i="6"/>
  <c r="FN4" i="6"/>
  <c r="FO4" i="6"/>
  <c r="FP4" i="6"/>
  <c r="FQ4" i="6"/>
  <c r="FR4" i="6"/>
  <c r="FS4" i="6"/>
  <c r="FT4" i="6"/>
  <c r="FU4" i="6"/>
  <c r="FV4" i="6"/>
  <c r="FW4" i="6"/>
  <c r="FX4" i="6"/>
  <c r="FY4" i="6"/>
  <c r="FZ4" i="6"/>
  <c r="GA4" i="6"/>
  <c r="GB4" i="6"/>
  <c r="GC4" i="6"/>
  <c r="GD4" i="6"/>
  <c r="GE4" i="6"/>
  <c r="GF4" i="6"/>
  <c r="GG4" i="6"/>
  <c r="GH4" i="6"/>
  <c r="GI4" i="6"/>
  <c r="GJ4" i="6"/>
  <c r="GK4" i="6"/>
  <c r="GL4" i="6"/>
  <c r="GM4" i="6"/>
  <c r="GN4" i="6"/>
  <c r="GO4" i="6"/>
  <c r="GP4" i="6"/>
  <c r="GQ4" i="6"/>
  <c r="GR4" i="6"/>
  <c r="GS4" i="6"/>
  <c r="GT4" i="6"/>
  <c r="GU4" i="6"/>
  <c r="GV4" i="6"/>
  <c r="GW4" i="6"/>
  <c r="GX4" i="6"/>
  <c r="GY4" i="6"/>
  <c r="GZ4" i="6"/>
  <c r="HA4" i="6"/>
  <c r="HB4" i="6"/>
  <c r="HC4" i="6"/>
  <c r="HD4" i="6"/>
  <c r="HE4" i="6"/>
  <c r="HF4" i="6"/>
  <c r="HH4" i="6"/>
  <c r="HI4" i="6"/>
  <c r="HJ4" i="6"/>
  <c r="HK4" i="6"/>
  <c r="HL4" i="6"/>
  <c r="HM4" i="6"/>
  <c r="HN4" i="6"/>
  <c r="HO4" i="6"/>
  <c r="HP4" i="6"/>
  <c r="HQ4" i="6"/>
  <c r="HR4" i="6"/>
  <c r="HS4" i="6"/>
  <c r="HT4" i="6"/>
  <c r="HU4" i="6"/>
  <c r="HV4" i="6"/>
  <c r="HW4" i="6"/>
  <c r="HX4" i="6"/>
  <c r="HY4" i="6"/>
  <c r="HZ4" i="6"/>
  <c r="IA4" i="6"/>
  <c r="IB4" i="6"/>
  <c r="IC4" i="6"/>
  <c r="ID4" i="6"/>
  <c r="IE4" i="6"/>
  <c r="IF4" i="6"/>
  <c r="IG4" i="6"/>
  <c r="IH4" i="6"/>
  <c r="II4" i="6"/>
  <c r="IJ4" i="6"/>
  <c r="IK4" i="6"/>
  <c r="IL4" i="6"/>
  <c r="IM4" i="6"/>
  <c r="IN4" i="6"/>
  <c r="IO4" i="6"/>
  <c r="IP4" i="6"/>
  <c r="IQ4" i="6"/>
  <c r="IR4" i="6"/>
  <c r="IS4" i="6"/>
  <c r="IT4" i="6"/>
  <c r="IU4" i="6"/>
  <c r="IV4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AZ5" i="6"/>
  <c r="BA5" i="6"/>
  <c r="BB5" i="6"/>
  <c r="BC5" i="6"/>
  <c r="BD5" i="6"/>
  <c r="BE5" i="6"/>
  <c r="BF5" i="6"/>
  <c r="BG5" i="6"/>
  <c r="BH5" i="6"/>
  <c r="BI5" i="6"/>
  <c r="BJ5" i="6"/>
  <c r="BK5" i="6"/>
  <c r="BL5" i="6"/>
  <c r="BM5" i="6"/>
  <c r="BN5" i="6"/>
  <c r="BO5" i="6"/>
  <c r="BP5" i="6"/>
  <c r="BQ5" i="6"/>
  <c r="BR5" i="6"/>
  <c r="BS5" i="6"/>
  <c r="BT5" i="6"/>
  <c r="BU5" i="6"/>
  <c r="BV5" i="6"/>
  <c r="BW5" i="6"/>
  <c r="BX5" i="6"/>
  <c r="BY5" i="6"/>
  <c r="BZ5" i="6"/>
  <c r="CA5" i="6"/>
  <c r="CB5" i="6"/>
  <c r="CC5" i="6"/>
  <c r="CD5" i="6"/>
  <c r="CE5" i="6"/>
  <c r="CF5" i="6"/>
  <c r="CG5" i="6"/>
  <c r="CH5" i="6"/>
  <c r="CI5" i="6"/>
  <c r="CJ5" i="6"/>
  <c r="CK5" i="6"/>
  <c r="CL5" i="6"/>
  <c r="CM5" i="6"/>
  <c r="CN5" i="6"/>
  <c r="CO5" i="6"/>
  <c r="CP5" i="6"/>
  <c r="CQ5" i="6"/>
  <c r="CR5" i="6"/>
  <c r="CS5" i="6"/>
  <c r="CT5" i="6"/>
  <c r="CU5" i="6"/>
  <c r="CV5" i="6"/>
  <c r="CW5" i="6"/>
  <c r="CX5" i="6"/>
  <c r="CY5" i="6"/>
  <c r="CZ5" i="6"/>
  <c r="DA5" i="6"/>
  <c r="DB5" i="6"/>
  <c r="DC5" i="6"/>
  <c r="DD5" i="6"/>
  <c r="DE5" i="6"/>
  <c r="DF5" i="6"/>
  <c r="DG5" i="6"/>
  <c r="DH5" i="6"/>
  <c r="DI5" i="6"/>
  <c r="DJ5" i="6"/>
  <c r="DK5" i="6"/>
  <c r="DL5" i="6"/>
  <c r="DM5" i="6"/>
  <c r="DN5" i="6"/>
  <c r="DO5" i="6"/>
  <c r="DP5" i="6"/>
  <c r="DQ5" i="6"/>
  <c r="DR5" i="6"/>
  <c r="DS5" i="6"/>
  <c r="DT5" i="6"/>
  <c r="DU5" i="6"/>
  <c r="DV5" i="6"/>
  <c r="DW5" i="6"/>
  <c r="DX5" i="6"/>
  <c r="DY5" i="6"/>
  <c r="DZ5" i="6"/>
  <c r="EA5" i="6"/>
  <c r="EB5" i="6"/>
  <c r="EC5" i="6"/>
  <c r="ED5" i="6"/>
  <c r="EE5" i="6"/>
  <c r="EF5" i="6"/>
  <c r="EG5" i="6"/>
  <c r="EH5" i="6"/>
  <c r="EI5" i="6"/>
  <c r="EJ5" i="6"/>
  <c r="EK5" i="6"/>
  <c r="EL5" i="6"/>
  <c r="EM5" i="6"/>
  <c r="EN5" i="6"/>
  <c r="EO5" i="6"/>
  <c r="EP5" i="6"/>
  <c r="EQ5" i="6"/>
  <c r="ER5" i="6"/>
  <c r="ES5" i="6"/>
  <c r="ET5" i="6"/>
  <c r="EU5" i="6"/>
  <c r="EV5" i="6"/>
  <c r="EW5" i="6"/>
  <c r="EX5" i="6"/>
  <c r="EY5" i="6"/>
  <c r="EZ5" i="6"/>
  <c r="FA5" i="6"/>
  <c r="FB5" i="6"/>
  <c r="FC5" i="6"/>
  <c r="FD5" i="6"/>
  <c r="FE5" i="6"/>
  <c r="FF5" i="6"/>
  <c r="FG5" i="6"/>
  <c r="FH5" i="6"/>
  <c r="FI5" i="6"/>
  <c r="FJ5" i="6"/>
  <c r="FK5" i="6"/>
  <c r="FL5" i="6"/>
  <c r="FM5" i="6"/>
  <c r="FN5" i="6"/>
  <c r="FO5" i="6"/>
  <c r="FP5" i="6"/>
  <c r="FQ5" i="6"/>
  <c r="FR5" i="6"/>
  <c r="FS5" i="6"/>
  <c r="FT5" i="6"/>
  <c r="FU5" i="6"/>
  <c r="FV5" i="6"/>
  <c r="FW5" i="6"/>
  <c r="FX5" i="6"/>
  <c r="FY5" i="6"/>
  <c r="FZ5" i="6"/>
  <c r="GA5" i="6"/>
  <c r="GB5" i="6"/>
  <c r="GC5" i="6"/>
  <c r="GD5" i="6"/>
  <c r="GE5" i="6"/>
  <c r="GF5" i="6"/>
  <c r="GG5" i="6"/>
  <c r="GH5" i="6"/>
  <c r="GI5" i="6"/>
  <c r="GJ5" i="6"/>
  <c r="GK5" i="6"/>
  <c r="GL5" i="6"/>
  <c r="GM5" i="6"/>
  <c r="GN5" i="6"/>
  <c r="GO5" i="6"/>
  <c r="GP5" i="6"/>
  <c r="GQ5" i="6"/>
  <c r="GR5" i="6"/>
  <c r="GS5" i="6"/>
  <c r="GT5" i="6"/>
  <c r="GU5" i="6"/>
  <c r="GV5" i="6"/>
  <c r="GW5" i="6"/>
  <c r="GX5" i="6"/>
  <c r="GY5" i="6"/>
  <c r="GZ5" i="6"/>
  <c r="HA5" i="6"/>
  <c r="HB5" i="6"/>
  <c r="HC5" i="6"/>
  <c r="HD5" i="6"/>
  <c r="HE5" i="6"/>
  <c r="HF5" i="6"/>
  <c r="HG5" i="6"/>
  <c r="HH5" i="6"/>
  <c r="HI5" i="6"/>
  <c r="HJ5" i="6"/>
  <c r="HK5" i="6"/>
  <c r="HL5" i="6"/>
  <c r="HM5" i="6"/>
  <c r="HN5" i="6"/>
  <c r="HO5" i="6"/>
  <c r="HP5" i="6"/>
  <c r="HQ5" i="6"/>
  <c r="HR5" i="6"/>
  <c r="HS5" i="6"/>
  <c r="HT5" i="6"/>
  <c r="HU5" i="6"/>
  <c r="HV5" i="6"/>
  <c r="HW5" i="6"/>
  <c r="HX5" i="6"/>
  <c r="HY5" i="6"/>
  <c r="HZ5" i="6"/>
  <c r="IA5" i="6"/>
  <c r="IB5" i="6"/>
  <c r="IC5" i="6"/>
  <c r="ID5" i="6"/>
  <c r="IE5" i="6"/>
  <c r="IF5" i="6"/>
  <c r="IG5" i="6"/>
  <c r="IH5" i="6"/>
  <c r="II5" i="6"/>
  <c r="IJ5" i="6"/>
  <c r="IK5" i="6"/>
  <c r="IL5" i="6"/>
  <c r="IM5" i="6"/>
  <c r="IN5" i="6"/>
  <c r="IO5" i="6"/>
  <c r="IP5" i="6"/>
  <c r="IQ5" i="6"/>
  <c r="IR5" i="6"/>
  <c r="IS5" i="6"/>
  <c r="IT5" i="6"/>
  <c r="IU5" i="6"/>
  <c r="IV5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BC6" i="6"/>
  <c r="BD6" i="6"/>
  <c r="BE6" i="6"/>
  <c r="BF6" i="6"/>
  <c r="BG6" i="6"/>
  <c r="BH6" i="6"/>
  <c r="BI6" i="6"/>
  <c r="BJ6" i="6"/>
  <c r="BK6" i="6"/>
  <c r="BL6" i="6"/>
  <c r="BM6" i="6"/>
  <c r="BN6" i="6"/>
  <c r="BO6" i="6"/>
  <c r="BP6" i="6"/>
  <c r="BQ6" i="6"/>
  <c r="BR6" i="6"/>
  <c r="BS6" i="6"/>
  <c r="BT6" i="6"/>
  <c r="BU6" i="6"/>
  <c r="BV6" i="6"/>
  <c r="BW6" i="6"/>
  <c r="BX6" i="6"/>
  <c r="BY6" i="6"/>
  <c r="BZ6" i="6"/>
  <c r="CA6" i="6"/>
  <c r="CB6" i="6"/>
  <c r="CC6" i="6"/>
  <c r="CD6" i="6"/>
  <c r="CE6" i="6"/>
  <c r="CF6" i="6"/>
  <c r="CG6" i="6"/>
  <c r="CH6" i="6"/>
  <c r="CI6" i="6"/>
  <c r="CJ6" i="6"/>
  <c r="CK6" i="6"/>
  <c r="CL6" i="6"/>
  <c r="CM6" i="6"/>
  <c r="CN6" i="6"/>
  <c r="CO6" i="6"/>
  <c r="CP6" i="6"/>
  <c r="CQ6" i="6"/>
  <c r="CR6" i="6"/>
  <c r="CS6" i="6"/>
  <c r="CT6" i="6"/>
  <c r="CU6" i="6"/>
  <c r="CV6" i="6"/>
  <c r="CW6" i="6"/>
  <c r="CX6" i="6"/>
  <c r="CY6" i="6"/>
  <c r="CZ6" i="6"/>
  <c r="DA6" i="6"/>
  <c r="DB6" i="6"/>
  <c r="DC6" i="6"/>
  <c r="DD6" i="6"/>
  <c r="DE6" i="6"/>
  <c r="DF6" i="6"/>
  <c r="DG6" i="6"/>
  <c r="DH6" i="6"/>
  <c r="DI6" i="6"/>
  <c r="DJ6" i="6"/>
  <c r="DK6" i="6"/>
  <c r="DL6" i="6"/>
  <c r="DM6" i="6"/>
  <c r="DN6" i="6"/>
  <c r="DO6" i="6"/>
  <c r="DP6" i="6"/>
  <c r="DQ6" i="6"/>
  <c r="DR6" i="6"/>
  <c r="DS6" i="6"/>
  <c r="DT6" i="6"/>
  <c r="DU6" i="6"/>
  <c r="DV6" i="6"/>
  <c r="DW6" i="6"/>
  <c r="DX6" i="6"/>
  <c r="DY6" i="6"/>
  <c r="DZ6" i="6"/>
  <c r="EA6" i="6"/>
  <c r="EB6" i="6"/>
  <c r="EC6" i="6"/>
  <c r="ED6" i="6"/>
  <c r="EE6" i="6"/>
  <c r="EF6" i="6"/>
  <c r="EG6" i="6"/>
  <c r="EH6" i="6"/>
  <c r="EI6" i="6"/>
  <c r="EJ6" i="6"/>
  <c r="EK6" i="6"/>
  <c r="EL6" i="6"/>
  <c r="EM6" i="6"/>
  <c r="EN6" i="6"/>
  <c r="EO6" i="6"/>
  <c r="EP6" i="6"/>
  <c r="EQ6" i="6"/>
  <c r="ER6" i="6"/>
  <c r="ES6" i="6"/>
  <c r="ET6" i="6"/>
  <c r="EU6" i="6"/>
  <c r="EV6" i="6"/>
  <c r="EW6" i="6"/>
  <c r="EX6" i="6"/>
  <c r="EY6" i="6"/>
  <c r="EZ6" i="6"/>
  <c r="FA6" i="6"/>
  <c r="FB6" i="6"/>
  <c r="FC6" i="6"/>
  <c r="FD6" i="6"/>
  <c r="FE6" i="6"/>
  <c r="FF6" i="6"/>
  <c r="FG6" i="6"/>
  <c r="FH6" i="6"/>
  <c r="FI6" i="6"/>
  <c r="FJ6" i="6"/>
  <c r="FK6" i="6"/>
  <c r="FL6" i="6"/>
  <c r="FM6" i="6"/>
  <c r="FN6" i="6"/>
  <c r="FO6" i="6"/>
  <c r="FP6" i="6"/>
  <c r="FQ6" i="6"/>
  <c r="FR6" i="6"/>
  <c r="FS6" i="6"/>
  <c r="FT6" i="6"/>
  <c r="FU6" i="6"/>
  <c r="FV6" i="6"/>
  <c r="FW6" i="6"/>
  <c r="FX6" i="6"/>
  <c r="FY6" i="6"/>
  <c r="FZ6" i="6"/>
  <c r="GA6" i="6"/>
  <c r="GB6" i="6"/>
  <c r="GC6" i="6"/>
  <c r="GD6" i="6"/>
  <c r="GE6" i="6"/>
  <c r="GF6" i="6"/>
  <c r="GG6" i="6"/>
  <c r="GH6" i="6"/>
  <c r="GI6" i="6"/>
  <c r="GJ6" i="6"/>
  <c r="GK6" i="6"/>
  <c r="GL6" i="6"/>
  <c r="GM6" i="6"/>
  <c r="GN6" i="6"/>
  <c r="GO6" i="6"/>
  <c r="GP6" i="6"/>
  <c r="GQ6" i="6"/>
  <c r="GR6" i="6"/>
  <c r="GS6" i="6"/>
  <c r="GT6" i="6"/>
  <c r="GU6" i="6"/>
  <c r="GV6" i="6"/>
  <c r="GW6" i="6"/>
  <c r="GX6" i="6"/>
  <c r="GY6" i="6"/>
  <c r="GZ6" i="6"/>
  <c r="HA6" i="6"/>
  <c r="HB6" i="6"/>
  <c r="HC6" i="6"/>
  <c r="HD6" i="6"/>
  <c r="HE6" i="6"/>
  <c r="HF6" i="6"/>
  <c r="HG6" i="6"/>
  <c r="HH6" i="6"/>
  <c r="HI6" i="6"/>
  <c r="HJ6" i="6"/>
  <c r="HK6" i="6"/>
  <c r="HL6" i="6"/>
  <c r="HM6" i="6"/>
  <c r="HN6" i="6"/>
  <c r="HO6" i="6"/>
  <c r="HP6" i="6"/>
  <c r="HQ6" i="6"/>
  <c r="HR6" i="6"/>
  <c r="HS6" i="6"/>
  <c r="HT6" i="6"/>
  <c r="HU6" i="6"/>
  <c r="HV6" i="6"/>
  <c r="HW6" i="6"/>
  <c r="HX6" i="6"/>
  <c r="HY6" i="6"/>
  <c r="HZ6" i="6"/>
  <c r="IA6" i="6"/>
  <c r="IB6" i="6"/>
  <c r="IC6" i="6"/>
  <c r="ID6" i="6"/>
  <c r="IE6" i="6"/>
  <c r="IF6" i="6"/>
  <c r="IG6" i="6"/>
  <c r="IH6" i="6"/>
  <c r="II6" i="6"/>
  <c r="IJ6" i="6"/>
  <c r="IK6" i="6"/>
  <c r="IL6" i="6"/>
  <c r="IM6" i="6"/>
  <c r="IN6" i="6"/>
  <c r="IO6" i="6"/>
  <c r="IP6" i="6"/>
  <c r="IQ6" i="6"/>
  <c r="IR6" i="6"/>
  <c r="IS6" i="6"/>
  <c r="IT6" i="6"/>
  <c r="IU6" i="6"/>
  <c r="IV6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CI7" i="6"/>
  <c r="CJ7" i="6"/>
  <c r="CK7" i="6"/>
  <c r="CL7" i="6"/>
  <c r="CM7" i="6"/>
  <c r="CN7" i="6"/>
  <c r="CO7" i="6"/>
  <c r="CP7" i="6"/>
  <c r="CQ7" i="6"/>
  <c r="CR7" i="6"/>
  <c r="CS7" i="6"/>
  <c r="CT7" i="6"/>
  <c r="CU7" i="6"/>
  <c r="CV7" i="6"/>
  <c r="CW7" i="6"/>
  <c r="CX7" i="6"/>
  <c r="CY7" i="6"/>
  <c r="CZ7" i="6"/>
  <c r="DA7" i="6"/>
  <c r="DB7" i="6"/>
  <c r="DC7" i="6"/>
  <c r="DD7" i="6"/>
  <c r="DE7" i="6"/>
  <c r="DF7" i="6"/>
  <c r="DG7" i="6"/>
  <c r="DH7" i="6"/>
  <c r="DI7" i="6"/>
  <c r="DJ7" i="6"/>
  <c r="DK7" i="6"/>
  <c r="DL7" i="6"/>
  <c r="DM7" i="6"/>
  <c r="DN7" i="6"/>
  <c r="DO7" i="6"/>
  <c r="DP7" i="6"/>
  <c r="DQ7" i="6"/>
  <c r="DR7" i="6"/>
  <c r="DS7" i="6"/>
  <c r="DT7" i="6"/>
  <c r="DU7" i="6"/>
  <c r="DV7" i="6"/>
  <c r="DW7" i="6"/>
  <c r="DX7" i="6"/>
  <c r="DY7" i="6"/>
  <c r="DZ7" i="6"/>
  <c r="EA7" i="6"/>
  <c r="EB7" i="6"/>
  <c r="EC7" i="6"/>
  <c r="ED7" i="6"/>
  <c r="EE7" i="6"/>
  <c r="EF7" i="6"/>
  <c r="EG7" i="6"/>
  <c r="EH7" i="6"/>
  <c r="EI7" i="6"/>
  <c r="EJ7" i="6"/>
  <c r="EK7" i="6"/>
  <c r="EL7" i="6"/>
  <c r="EM7" i="6"/>
  <c r="EN7" i="6"/>
  <c r="EO7" i="6"/>
  <c r="EP7" i="6"/>
  <c r="EQ7" i="6"/>
  <c r="ER7" i="6"/>
  <c r="ES7" i="6"/>
  <c r="ET7" i="6"/>
  <c r="EU7" i="6"/>
  <c r="EV7" i="6"/>
  <c r="EW7" i="6"/>
  <c r="EX7" i="6"/>
  <c r="EY7" i="6"/>
  <c r="EZ7" i="6"/>
  <c r="FA7" i="6"/>
  <c r="FB7" i="6"/>
  <c r="FC7" i="6"/>
  <c r="FD7" i="6"/>
  <c r="FE7" i="6"/>
  <c r="FF7" i="6"/>
  <c r="FG7" i="6"/>
  <c r="FH7" i="6"/>
  <c r="FI7" i="6"/>
  <c r="FJ7" i="6"/>
  <c r="FK7" i="6"/>
  <c r="FL7" i="6"/>
  <c r="FM7" i="6"/>
  <c r="FN7" i="6"/>
  <c r="FO7" i="6"/>
  <c r="FP7" i="6"/>
  <c r="FQ7" i="6"/>
  <c r="FR7" i="6"/>
  <c r="FS7" i="6"/>
  <c r="FT7" i="6"/>
  <c r="FU7" i="6"/>
  <c r="FV7" i="6"/>
  <c r="FW7" i="6"/>
  <c r="FX7" i="6"/>
  <c r="FY7" i="6"/>
  <c r="FZ7" i="6"/>
  <c r="F1" i="6"/>
  <c r="G1" i="6"/>
  <c r="H1" i="6"/>
  <c r="I1" i="6"/>
  <c r="J1" i="6"/>
  <c r="K1" i="6"/>
  <c r="L1" i="6"/>
  <c r="M1" i="6"/>
  <c r="N1" i="6"/>
  <c r="O1" i="6"/>
  <c r="P1" i="6"/>
  <c r="Q1" i="6"/>
  <c r="R1" i="6"/>
  <c r="S1" i="6"/>
  <c r="T1" i="6"/>
  <c r="U1" i="6"/>
  <c r="V1" i="6"/>
  <c r="W1" i="6"/>
  <c r="X1" i="6"/>
  <c r="Y1" i="6"/>
  <c r="Z1" i="6"/>
  <c r="AA1" i="6"/>
  <c r="AB1" i="6"/>
  <c r="AC1" i="6"/>
  <c r="AD1" i="6"/>
  <c r="AE1" i="6"/>
  <c r="AF1" i="6"/>
  <c r="AG1" i="6"/>
  <c r="AH1" i="6"/>
  <c r="AI1" i="6"/>
  <c r="AJ1" i="6"/>
  <c r="AK1" i="6"/>
  <c r="AL1" i="6"/>
  <c r="AM1" i="6"/>
  <c r="AN1" i="6"/>
  <c r="AO1" i="6"/>
  <c r="AP1" i="6"/>
  <c r="AQ1" i="6"/>
  <c r="AR1" i="6"/>
  <c r="AS1" i="6"/>
  <c r="AT1" i="6"/>
  <c r="AU1" i="6"/>
  <c r="AV1" i="6"/>
  <c r="AW1" i="6"/>
  <c r="AX1" i="6"/>
  <c r="AY1" i="6"/>
  <c r="AZ1" i="6"/>
  <c r="BA1" i="6"/>
  <c r="BB1" i="6"/>
  <c r="BC1" i="6"/>
  <c r="BD1" i="6"/>
  <c r="BE1" i="6"/>
  <c r="BF1" i="6"/>
  <c r="BG1" i="6"/>
  <c r="BH1" i="6"/>
  <c r="BI1" i="6"/>
  <c r="BJ1" i="6"/>
  <c r="BK1" i="6"/>
  <c r="BL1" i="6"/>
  <c r="BM1" i="6"/>
  <c r="BN1" i="6"/>
  <c r="BO1" i="6"/>
  <c r="BP1" i="6"/>
  <c r="BQ1" i="6"/>
  <c r="BR1" i="6"/>
  <c r="BS1" i="6"/>
  <c r="BT1" i="6"/>
  <c r="BU1" i="6"/>
  <c r="BV1" i="6"/>
  <c r="BW1" i="6"/>
  <c r="BX1" i="6"/>
  <c r="BY1" i="6"/>
  <c r="BZ1" i="6"/>
  <c r="CA1" i="6"/>
  <c r="CB1" i="6"/>
  <c r="CC1" i="6"/>
  <c r="CD1" i="6"/>
  <c r="CE1" i="6"/>
  <c r="CF1" i="6"/>
  <c r="CG1" i="6"/>
  <c r="CH1" i="6"/>
  <c r="CI1" i="6"/>
  <c r="CJ1" i="6"/>
  <c r="CK1" i="6"/>
  <c r="CL1" i="6"/>
  <c r="CM1" i="6"/>
  <c r="CN1" i="6"/>
  <c r="CO1" i="6"/>
  <c r="CP1" i="6"/>
  <c r="CQ1" i="6"/>
  <c r="CR1" i="6"/>
  <c r="CS1" i="6"/>
  <c r="CT1" i="6"/>
  <c r="CU1" i="6"/>
  <c r="CV1" i="6"/>
  <c r="CW1" i="6"/>
  <c r="CX1" i="6"/>
  <c r="CY1" i="6"/>
  <c r="CZ1" i="6"/>
  <c r="DA1" i="6"/>
  <c r="DB1" i="6"/>
  <c r="DC1" i="6"/>
  <c r="DD1" i="6"/>
  <c r="DE1" i="6"/>
  <c r="DF1" i="6"/>
  <c r="DG1" i="6"/>
  <c r="DH1" i="6"/>
  <c r="DI1" i="6"/>
  <c r="DJ1" i="6"/>
  <c r="DK1" i="6"/>
  <c r="DL1" i="6"/>
  <c r="DM1" i="6"/>
  <c r="DN1" i="6"/>
  <c r="DO1" i="6"/>
  <c r="DP1" i="6"/>
  <c r="DQ1" i="6"/>
  <c r="DR1" i="6"/>
  <c r="DS1" i="6"/>
  <c r="DT1" i="6"/>
  <c r="DU1" i="6"/>
  <c r="DV1" i="6"/>
  <c r="DW1" i="6"/>
  <c r="DX1" i="6"/>
  <c r="DY1" i="6"/>
  <c r="DZ1" i="6"/>
  <c r="EA1" i="6"/>
  <c r="EB1" i="6"/>
  <c r="EC1" i="6"/>
  <c r="ED1" i="6"/>
  <c r="EE1" i="6"/>
  <c r="EF1" i="6"/>
  <c r="EG1" i="6"/>
  <c r="EH1" i="6"/>
  <c r="EI1" i="6"/>
  <c r="EJ1" i="6"/>
  <c r="EK1" i="6"/>
  <c r="EL1" i="6"/>
  <c r="EM1" i="6"/>
  <c r="EN1" i="6"/>
  <c r="EO1" i="6"/>
  <c r="EP1" i="6"/>
  <c r="EQ1" i="6"/>
  <c r="ER1" i="6"/>
  <c r="ES1" i="6"/>
  <c r="ET1" i="6"/>
  <c r="EU1" i="6"/>
  <c r="EV1" i="6"/>
  <c r="EW1" i="6"/>
  <c r="EX1" i="6"/>
  <c r="EY1" i="6"/>
  <c r="EZ1" i="6"/>
  <c r="FA1" i="6"/>
  <c r="FB1" i="6"/>
  <c r="FC1" i="6"/>
  <c r="FD1" i="6"/>
  <c r="FE1" i="6"/>
  <c r="FF1" i="6"/>
  <c r="FG1" i="6"/>
  <c r="FH1" i="6"/>
  <c r="FI1" i="6"/>
  <c r="FJ1" i="6"/>
  <c r="FK1" i="6"/>
  <c r="FL1" i="6"/>
  <c r="FM1" i="6"/>
  <c r="FN1" i="6"/>
  <c r="FO1" i="6"/>
  <c r="FP1" i="6"/>
  <c r="FQ1" i="6"/>
  <c r="FR1" i="6"/>
  <c r="FS1" i="6"/>
  <c r="FT1" i="6"/>
  <c r="FU1" i="6"/>
  <c r="FV1" i="6"/>
  <c r="FW1" i="6"/>
  <c r="FX1" i="6"/>
  <c r="FY1" i="6"/>
  <c r="FZ1" i="6"/>
  <c r="GA1" i="6"/>
  <c r="GB1" i="6"/>
  <c r="GC1" i="6"/>
  <c r="GD1" i="6"/>
  <c r="GE1" i="6"/>
  <c r="GF1" i="6"/>
  <c r="GG1" i="6"/>
  <c r="GH1" i="6"/>
  <c r="GI1" i="6"/>
  <c r="GJ1" i="6"/>
  <c r="GK1" i="6"/>
  <c r="GL1" i="6"/>
  <c r="GM1" i="6"/>
  <c r="GN1" i="6"/>
  <c r="GO1" i="6"/>
  <c r="GP1" i="6"/>
  <c r="GQ1" i="6"/>
  <c r="GR1" i="6"/>
  <c r="GS1" i="6"/>
  <c r="GT1" i="6"/>
  <c r="GU1" i="6"/>
  <c r="GV1" i="6"/>
  <c r="GW1" i="6"/>
  <c r="GX1" i="6"/>
  <c r="GY1" i="6"/>
  <c r="GZ1" i="6"/>
  <c r="HA1" i="6"/>
  <c r="HB1" i="6"/>
  <c r="HC1" i="6"/>
  <c r="HD1" i="6"/>
  <c r="HE1" i="6"/>
  <c r="HF1" i="6"/>
  <c r="HG1" i="6"/>
  <c r="HH1" i="6"/>
  <c r="HI1" i="6"/>
  <c r="HJ1" i="6"/>
  <c r="HK1" i="6"/>
  <c r="HL1" i="6"/>
  <c r="HM1" i="6"/>
  <c r="HN1" i="6"/>
  <c r="HO1" i="6"/>
  <c r="HP1" i="6"/>
  <c r="HQ1" i="6"/>
  <c r="HR1" i="6"/>
  <c r="HS1" i="6"/>
  <c r="HT1" i="6"/>
  <c r="HU1" i="6"/>
  <c r="HV1" i="6"/>
  <c r="HW1" i="6"/>
  <c r="HX1" i="6"/>
  <c r="HY1" i="6"/>
  <c r="HZ1" i="6"/>
  <c r="IA1" i="6"/>
  <c r="IB1" i="6"/>
  <c r="IC1" i="6"/>
  <c r="ID1" i="6"/>
  <c r="IE1" i="6"/>
  <c r="IF1" i="6"/>
  <c r="IG1" i="6"/>
  <c r="IH1" i="6"/>
  <c r="II1" i="6"/>
  <c r="IJ1" i="6"/>
  <c r="IK1" i="6"/>
  <c r="IL1" i="6"/>
  <c r="IM1" i="6"/>
  <c r="IN1" i="6"/>
  <c r="IO1" i="6"/>
  <c r="IP1" i="6"/>
  <c r="IQ1" i="6"/>
  <c r="IR1" i="6"/>
  <c r="IS1" i="6"/>
  <c r="IT1" i="6"/>
  <c r="IU1" i="6"/>
  <c r="IV1" i="6"/>
  <c r="A11" i="5" l="1"/>
  <c r="DH2" i="6" s="1"/>
  <c r="A10" i="5"/>
  <c r="CZ2" i="6" s="1"/>
  <c r="A10" i="3"/>
  <c r="HG4" i="6" s="1"/>
</calcChain>
</file>

<file path=xl/sharedStrings.xml><?xml version="1.0" encoding="utf-8"?>
<sst xmlns="http://schemas.openxmlformats.org/spreadsheetml/2006/main" count="32" uniqueCount="27">
  <si>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</si>
  <si>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</si>
  <si>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</si>
  <si>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</si>
  <si>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</si>
  <si>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</si>
  <si>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</si>
  <si>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</si>
  <si>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</si>
  <si>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</si>
  <si>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</si>
  <si>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</si>
  <si>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</si>
  <si>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</si>
  <si>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</si>
  <si>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</si>
  <si>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</si>
  <si>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</si>
  <si>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</si>
  <si>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D%$&amp;01_04ffe543ac5944f896171c9a48881978</t>
  </si>
  <si>
    <t>DELAHAYE Jérôme OWF/DMWF_7229_ORANGE_Windows (32-bit) NT 6.02_WX-OR6178166_AJDO6463$$$26032019</t>
  </si>
  <si>
    <t>"?g(!1684"</t>
  </si>
  <si>
    <t>"Ls/!1"</t>
  </si>
  <si>
    <t>MIEB8514_7232_ORANGE FT Group_Windows (32-bit) NT 6.01_EB-OR6290101_MIEB8514$$$07062019</t>
  </si>
  <si>
    <t>Composante « Accès FTTH activés » de l’Offre FTTH Active
annexe 5 - prévisions de commandes</t>
  </si>
  <si>
    <t>MIEB8514_7243_ORANGE FT Group_Windows (32-bit) NT 6.01_EB-OR6290101_MIEB8514$$$13012020</t>
  </si>
  <si>
    <t>"$A;U!1"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</si>
</sst>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b/>
      <sz val="9"/>
      <color indexed="53"/>
      <name val="Helvetica 55 Roman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2">
    <xf numFmtId="0" fontId="0" fillId="0" borderId="0"/>
    <xf numFmtId="0" fontId="11" fillId="0" borderId="0"/>
  </cellStyleXfs>
  <cellXfs count="32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14" fontId="0" fillId="0" borderId="0" xfId="0" applyNumberFormat="1"/>
    <xf numFmtId="0" fontId="2" fillId="0" borderId="0" xfId="1" applyFont="1" applyAlignment="1">
      <alignment horizontal="center" wrapText="1"/>
    </xf>
    <xf numFmtId="0" fontId="0" fillId="0" borderId="0" xfId="1" applyFont="1" applyAlignment="1">
      <alignment horizontal="center" wrapText="1"/>
    </xf>
    <xf numFmtId="0" fontId="0" fillId="0" borderId="0" xfId="1" applyFont="1"/>
    <xf numFmtId="0" fontId="3" fillId="0" borderId="0" xfId="1" applyFont="1"/>
    <xf numFmtId="0" fontId="3" fillId="0" borderId="0" xfId="1" applyFont="1" applyProtection="1">
      <protection locked="0"/>
    </xf>
    <xf numFmtId="0" fontId="0" fillId="0" borderId="0" xfId="1" applyFont="1" applyAlignment="1">
      <alignment wrapText="1"/>
    </xf>
  </cellXfs>
  <cellStyles count="2">
    <cellStyle name="%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F4" sqref="F4"/>
    </sheetView>
  </sheetViews>
  <sheetFormatPr baseColWidth="10" defaultColWidth="11.453125" defaultRowHeight="11.5" x14ac:dyDescent="0.25"/>
  <cols>
    <col min="1" max="1" width="11.453125" style="2" hidden="1" customWidth="1"/>
    <col min="2" max="2" width="12.54296875" style="2" customWidth="1"/>
    <col min="3" max="3" width="12.81640625" style="2" customWidth="1"/>
    <col min="4" max="4" width="17.26953125" style="2" customWidth="1"/>
    <col min="5" max="5" width="12" style="2" customWidth="1"/>
    <col min="6" max="6" width="14.1796875" style="2" customWidth="1"/>
    <col min="7" max="7" width="11" style="2" customWidth="1"/>
    <col min="8" max="16384" width="11.453125" style="2"/>
  </cols>
  <sheetData>
    <row r="1" spans="1:8" s="3" customFormat="1" ht="57" customHeight="1" x14ac:dyDescent="0.35">
      <c r="B1" s="26" t="str">
        <f>+'prévisions hebdomadaires'!B1:H1</f>
        <v>Composante « Accès FTTH activés » de l’Offre FTTH Active
annexe 5 - prévisions de commandes</v>
      </c>
      <c r="C1" s="27"/>
      <c r="D1" s="27"/>
      <c r="E1" s="27"/>
      <c r="F1" s="27"/>
      <c r="G1" s="28"/>
      <c r="H1" s="28"/>
    </row>
    <row r="2" spans="1:8" s="3" customFormat="1" ht="15.5" x14ac:dyDescent="0.35">
      <c r="E2" s="4"/>
    </row>
    <row r="3" spans="1:8" s="3" customFormat="1" ht="13" x14ac:dyDescent="0.3">
      <c r="E3" s="1" t="s">
        <v>3</v>
      </c>
      <c r="F3" s="23" t="s">
        <v>18</v>
      </c>
      <c r="G3" s="23"/>
      <c r="H3" s="23"/>
    </row>
    <row r="4" spans="1:8" s="3" customFormat="1" ht="13" x14ac:dyDescent="0.3">
      <c r="E4" s="6" t="s">
        <v>0</v>
      </c>
      <c r="F4" s="23" t="s">
        <v>4</v>
      </c>
      <c r="G4" s="23"/>
      <c r="H4" s="23"/>
    </row>
    <row r="5" spans="1:8" s="3" customFormat="1" ht="13" x14ac:dyDescent="0.3">
      <c r="E5" s="1"/>
      <c r="F5" s="5"/>
      <c r="G5" s="5"/>
      <c r="H5" s="5"/>
    </row>
    <row r="6" spans="1:8" s="3" customFormat="1" ht="13" x14ac:dyDescent="0.3">
      <c r="B6" s="5"/>
      <c r="C6" s="5"/>
      <c r="D6" s="5"/>
      <c r="E6" s="7"/>
      <c r="F6" s="5"/>
      <c r="G6" s="5"/>
      <c r="H6" s="5"/>
    </row>
    <row r="7" spans="1:8" s="3" customFormat="1" ht="13" x14ac:dyDescent="0.3">
      <c r="B7" s="5"/>
      <c r="C7" s="5"/>
      <c r="D7" s="5"/>
      <c r="E7" s="8"/>
      <c r="F7" s="5"/>
      <c r="G7" s="5"/>
      <c r="H7" s="5"/>
    </row>
    <row r="8" spans="1:8" s="9" customFormat="1" ht="13" x14ac:dyDescent="0.25">
      <c r="B8" s="10"/>
      <c r="C8" s="10"/>
      <c r="D8" s="10"/>
      <c r="E8" s="11"/>
      <c r="F8" s="13"/>
      <c r="G8" s="13"/>
      <c r="H8" s="13"/>
    </row>
    <row r="9" spans="1:8" s="3" customFormat="1" ht="19" x14ac:dyDescent="0.25">
      <c r="B9" s="11" t="s">
        <v>1</v>
      </c>
      <c r="C9" s="12" t="s">
        <v>2</v>
      </c>
      <c r="D9" s="12" t="s">
        <v>10</v>
      </c>
      <c r="E9" s="11" t="s">
        <v>14</v>
      </c>
      <c r="F9" s="14" t="s">
        <v>15</v>
      </c>
      <c r="G9" s="14" t="s">
        <v>16</v>
      </c>
      <c r="H9" s="14" t="s">
        <v>17</v>
      </c>
    </row>
    <row r="10" spans="1:8" s="3" customFormat="1" x14ac:dyDescent="0.25">
      <c r="A10" s="3">
        <f>IF(B10="",0,1)</f>
        <v>0</v>
      </c>
      <c r="B10" s="15"/>
      <c r="C10" s="21"/>
      <c r="D10" s="16"/>
      <c r="E10" s="17"/>
      <c r="F10" s="18"/>
      <c r="G10" s="18"/>
      <c r="H10" s="18"/>
    </row>
    <row r="11" spans="1:8" s="3" customFormat="1" x14ac:dyDescent="0.25">
      <c r="A11" s="3">
        <f>IF(B11="",0,1)</f>
        <v>0</v>
      </c>
      <c r="B11" s="15"/>
      <c r="C11" s="21"/>
      <c r="D11" s="16"/>
      <c r="E11" s="17"/>
      <c r="F11" s="18"/>
      <c r="G11" s="18"/>
      <c r="H11" s="18"/>
    </row>
    <row r="12" spans="1:8" s="3" customFormat="1" x14ac:dyDescent="0.25">
      <c r="B12" s="15"/>
      <c r="C12" s="21"/>
      <c r="D12" s="16"/>
      <c r="E12" s="17"/>
      <c r="F12" s="18"/>
      <c r="G12" s="18"/>
      <c r="H12" s="18"/>
    </row>
    <row r="13" spans="1:8" s="3" customFormat="1" x14ac:dyDescent="0.25">
      <c r="B13" s="15"/>
      <c r="C13" s="21"/>
      <c r="D13" s="16"/>
      <c r="E13" s="17"/>
      <c r="F13" s="18"/>
      <c r="G13" s="18"/>
      <c r="H13" s="18"/>
    </row>
    <row r="14" spans="1:8" s="3" customFormat="1" x14ac:dyDescent="0.25">
      <c r="B14" s="15"/>
      <c r="C14" s="21"/>
      <c r="D14" s="16"/>
      <c r="E14" s="17"/>
      <c r="F14" s="18"/>
      <c r="G14" s="18"/>
      <c r="H14" s="18"/>
    </row>
    <row r="15" spans="1:8" s="3" customFormat="1" x14ac:dyDescent="0.25">
      <c r="B15" s="15"/>
      <c r="C15" s="21"/>
      <c r="D15" s="16"/>
      <c r="E15" s="17"/>
      <c r="F15" s="18"/>
      <c r="G15" s="18"/>
      <c r="H15" s="18"/>
    </row>
    <row r="16" spans="1:8" s="3" customFormat="1" x14ac:dyDescent="0.25">
      <c r="B16" s="15"/>
      <c r="C16" s="21"/>
      <c r="D16" s="16"/>
      <c r="E16" s="17"/>
      <c r="F16" s="18"/>
      <c r="G16" s="18"/>
      <c r="H16" s="18"/>
    </row>
    <row r="17" spans="2:8" s="3" customFormat="1" x14ac:dyDescent="0.25">
      <c r="B17" s="15"/>
      <c r="C17" s="21"/>
      <c r="D17" s="16"/>
      <c r="E17" s="17"/>
      <c r="F17" s="18"/>
      <c r="G17" s="18"/>
      <c r="H17" s="18"/>
    </row>
    <row r="18" spans="2:8" s="3" customFormat="1" x14ac:dyDescent="0.25">
      <c r="B18" s="15"/>
      <c r="C18" s="21"/>
      <c r="D18" s="16"/>
      <c r="E18" s="17"/>
      <c r="F18" s="18"/>
      <c r="G18" s="18"/>
      <c r="H18" s="18"/>
    </row>
    <row r="19" spans="2:8" s="3" customFormat="1" x14ac:dyDescent="0.25">
      <c r="B19" s="15"/>
      <c r="C19" s="21"/>
      <c r="D19" s="16"/>
      <c r="E19" s="17"/>
      <c r="F19" s="18"/>
      <c r="G19" s="18"/>
      <c r="H19" s="18"/>
    </row>
    <row r="20" spans="2:8" x14ac:dyDescent="0.25">
      <c r="B20" s="15"/>
      <c r="C20" s="21"/>
      <c r="D20" s="16"/>
      <c r="E20" s="17"/>
      <c r="F20" s="18"/>
      <c r="G20" s="18"/>
      <c r="H20" s="18"/>
    </row>
    <row r="21" spans="2:8" x14ac:dyDescent="0.25">
      <c r="B21" s="15"/>
      <c r="C21" s="21"/>
      <c r="D21" s="16"/>
      <c r="E21" s="17"/>
      <c r="F21" s="18"/>
      <c r="G21" s="18"/>
      <c r="H21" s="18"/>
    </row>
    <row r="22" spans="2:8" x14ac:dyDescent="0.25">
      <c r="B22" s="15"/>
      <c r="C22" s="21"/>
      <c r="D22" s="16"/>
      <c r="E22" s="17"/>
      <c r="F22" s="18"/>
      <c r="G22" s="18"/>
      <c r="H22" s="18"/>
    </row>
    <row r="23" spans="2:8" x14ac:dyDescent="0.25">
      <c r="B23" s="15"/>
      <c r="C23" s="21"/>
      <c r="D23" s="16"/>
      <c r="E23" s="17"/>
      <c r="F23" s="18"/>
      <c r="G23" s="18"/>
      <c r="H23" s="18"/>
    </row>
    <row r="24" spans="2:8" x14ac:dyDescent="0.25">
      <c r="B24" s="15"/>
      <c r="C24" s="21"/>
      <c r="D24" s="16"/>
      <c r="E24" s="17"/>
      <c r="F24" s="18"/>
      <c r="G24" s="18"/>
      <c r="H24" s="18"/>
    </row>
    <row r="25" spans="2:8" x14ac:dyDescent="0.25">
      <c r="B25" s="15"/>
      <c r="C25" s="21"/>
      <c r="D25" s="16"/>
      <c r="E25" s="17"/>
      <c r="F25" s="18"/>
      <c r="G25" s="18"/>
      <c r="H25" s="18"/>
    </row>
    <row r="26" spans="2:8" x14ac:dyDescent="0.25">
      <c r="B26" s="15"/>
      <c r="C26" s="21"/>
      <c r="D26" s="16"/>
      <c r="E26" s="17"/>
      <c r="F26" s="18"/>
      <c r="G26" s="18"/>
      <c r="H26" s="18"/>
    </row>
    <row r="27" spans="2:8" x14ac:dyDescent="0.25">
      <c r="B27" s="15"/>
      <c r="C27" s="21"/>
      <c r="D27" s="16"/>
      <c r="E27" s="17"/>
      <c r="F27" s="18"/>
      <c r="G27" s="18"/>
      <c r="H27" s="18"/>
    </row>
    <row r="28" spans="2:8" x14ac:dyDescent="0.25">
      <c r="B28" s="15"/>
      <c r="C28" s="21"/>
      <c r="D28" s="16"/>
      <c r="E28" s="17"/>
      <c r="F28" s="18"/>
      <c r="G28" s="18"/>
      <c r="H28" s="18"/>
    </row>
    <row r="29" spans="2:8" x14ac:dyDescent="0.25">
      <c r="B29" s="15"/>
      <c r="C29" s="21"/>
      <c r="D29" s="16"/>
      <c r="E29" s="17"/>
      <c r="F29" s="18"/>
      <c r="G29" s="18"/>
      <c r="H29" s="18"/>
    </row>
    <row r="30" spans="2:8" x14ac:dyDescent="0.25">
      <c r="B30" s="15"/>
      <c r="C30" s="21"/>
      <c r="D30" s="16"/>
      <c r="E30" s="17"/>
      <c r="F30" s="18"/>
      <c r="G30" s="18"/>
      <c r="H30" s="18"/>
    </row>
    <row r="31" spans="2:8" x14ac:dyDescent="0.25">
      <c r="B31" s="15"/>
      <c r="C31" s="21"/>
      <c r="D31" s="16"/>
      <c r="E31" s="17"/>
      <c r="F31" s="18"/>
      <c r="G31" s="18"/>
      <c r="H31" s="18"/>
    </row>
    <row r="32" spans="2:8" x14ac:dyDescent="0.25">
      <c r="B32" s="15"/>
      <c r="C32" s="21"/>
      <c r="D32" s="16"/>
      <c r="E32" s="17"/>
      <c r="F32" s="18"/>
      <c r="G32" s="18"/>
      <c r="H32" s="18"/>
    </row>
    <row r="33" spans="2:8" x14ac:dyDescent="0.25">
      <c r="B33" s="15"/>
      <c r="C33" s="21"/>
      <c r="D33" s="16"/>
      <c r="E33" s="17"/>
      <c r="F33" s="18"/>
      <c r="G33" s="18"/>
      <c r="H33" s="18"/>
    </row>
    <row r="34" spans="2:8" x14ac:dyDescent="0.25">
      <c r="B34" s="22"/>
      <c r="C34" s="22"/>
      <c r="D34" s="22"/>
      <c r="E34" s="22"/>
      <c r="F34" s="22"/>
      <c r="G34" s="22"/>
      <c r="H34" s="22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&amp;LAccès Collecte Activés
V1.1 Juillet 2020
&amp;R&amp;A</oddHeader>
    <oddFooter>&amp;R&amp;P/&amp;N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B2" sqref="B2"/>
    </sheetView>
  </sheetViews>
  <sheetFormatPr baseColWidth="10" defaultColWidth="11.453125" defaultRowHeight="11.5" x14ac:dyDescent="0.25"/>
  <cols>
    <col min="1" max="1" width="11.453125" style="2" hidden="1" customWidth="1"/>
    <col min="2" max="2" width="11.81640625" style="2" customWidth="1"/>
    <col min="3" max="3" width="10.453125" style="2" bestFit="1" customWidth="1"/>
    <col min="4" max="4" width="20.26953125" style="2" customWidth="1"/>
    <col min="5" max="5" width="11.1796875" style="2" customWidth="1"/>
    <col min="6" max="6" width="11" style="2" customWidth="1"/>
    <col min="7" max="7" width="15.54296875" style="2" customWidth="1"/>
    <col min="8" max="8" width="15.7265625" style="2" customWidth="1"/>
    <col min="9" max="16384" width="11.453125" style="2"/>
  </cols>
  <sheetData>
    <row r="1" spans="1:9" s="3" customFormat="1" ht="57" customHeight="1" x14ac:dyDescent="0.35">
      <c r="B1" s="26" t="s">
        <v>24</v>
      </c>
      <c r="C1" s="27"/>
      <c r="D1" s="27"/>
      <c r="E1" s="27"/>
      <c r="F1" s="27"/>
      <c r="G1" s="27"/>
      <c r="H1" s="31"/>
    </row>
    <row r="2" spans="1:9" s="3" customFormat="1" ht="15.5" x14ac:dyDescent="0.35">
      <c r="E2" s="4"/>
      <c r="H2" s="4"/>
    </row>
    <row r="3" spans="1:9" s="3" customFormat="1" ht="13" x14ac:dyDescent="0.3">
      <c r="F3" s="29" t="s">
        <v>3</v>
      </c>
      <c r="G3" s="28"/>
      <c r="H3" s="23" t="s">
        <v>18</v>
      </c>
      <c r="I3" s="1"/>
    </row>
    <row r="4" spans="1:9" s="3" customFormat="1" ht="13" x14ac:dyDescent="0.3">
      <c r="F4" s="29" t="s">
        <v>9</v>
      </c>
      <c r="G4" s="28"/>
      <c r="H4" s="23" t="s">
        <v>11</v>
      </c>
      <c r="I4" s="6"/>
    </row>
    <row r="5" spans="1:9" s="3" customFormat="1" ht="13" x14ac:dyDescent="0.3">
      <c r="F5" s="30" t="s">
        <v>0</v>
      </c>
      <c r="G5" s="28"/>
      <c r="H5" s="24" t="s">
        <v>4</v>
      </c>
      <c r="I5" s="1"/>
    </row>
    <row r="6" spans="1:9" s="3" customFormat="1" ht="13" x14ac:dyDescent="0.3">
      <c r="B6" s="5"/>
      <c r="C6" s="5"/>
      <c r="D6" s="5"/>
      <c r="E6" s="7"/>
      <c r="F6" s="5"/>
      <c r="G6" s="5"/>
      <c r="H6" s="7"/>
    </row>
    <row r="7" spans="1:9" s="3" customFormat="1" ht="13" x14ac:dyDescent="0.3">
      <c r="B7" s="5"/>
      <c r="C7" s="5"/>
      <c r="D7" s="5"/>
      <c r="E7" s="8"/>
      <c r="F7" s="5"/>
      <c r="G7" s="5"/>
      <c r="H7" s="8"/>
    </row>
    <row r="8" spans="1:9" s="9" customFormat="1" ht="13" x14ac:dyDescent="0.25">
      <c r="B8" s="10"/>
      <c r="C8" s="10"/>
      <c r="D8" s="10"/>
      <c r="E8" s="13"/>
      <c r="F8" s="13"/>
      <c r="G8" s="13"/>
      <c r="H8" s="13"/>
    </row>
    <row r="9" spans="1:9" s="3" customFormat="1" ht="19" x14ac:dyDescent="0.25">
      <c r="B9" s="11" t="s">
        <v>1</v>
      </c>
      <c r="C9" s="12" t="s">
        <v>12</v>
      </c>
      <c r="D9" s="12" t="s">
        <v>13</v>
      </c>
      <c r="E9" s="14" t="s">
        <v>5</v>
      </c>
      <c r="F9" s="14" t="s">
        <v>6</v>
      </c>
      <c r="G9" s="14" t="s">
        <v>7</v>
      </c>
      <c r="H9" s="14" t="s">
        <v>8</v>
      </c>
    </row>
    <row r="10" spans="1:9" s="3" customFormat="1" x14ac:dyDescent="0.25">
      <c r="A10" s="3">
        <f>IF(B10="",0,1)</f>
        <v>0</v>
      </c>
      <c r="B10" s="15"/>
      <c r="C10" s="21"/>
      <c r="D10" s="16"/>
      <c r="E10" s="17"/>
      <c r="F10" s="18"/>
      <c r="G10" s="19"/>
      <c r="H10" s="20"/>
    </row>
    <row r="11" spans="1:9" s="3" customFormat="1" x14ac:dyDescent="0.25">
      <c r="B11" s="15"/>
      <c r="C11" s="21"/>
      <c r="D11" s="16"/>
      <c r="E11" s="17"/>
      <c r="F11" s="18"/>
      <c r="G11" s="19"/>
      <c r="H11" s="20"/>
    </row>
    <row r="12" spans="1:9" s="3" customFormat="1" x14ac:dyDescent="0.25">
      <c r="B12" s="15"/>
      <c r="C12" s="21"/>
      <c r="D12" s="16"/>
      <c r="E12" s="17"/>
      <c r="F12" s="18"/>
      <c r="G12" s="19"/>
      <c r="H12" s="20"/>
    </row>
    <row r="13" spans="1:9" s="3" customFormat="1" x14ac:dyDescent="0.25">
      <c r="B13" s="15"/>
      <c r="C13" s="21"/>
      <c r="D13" s="16"/>
      <c r="E13" s="17"/>
      <c r="F13" s="18"/>
      <c r="G13" s="19"/>
      <c r="H13" s="20"/>
    </row>
    <row r="14" spans="1:9" s="3" customFormat="1" x14ac:dyDescent="0.25">
      <c r="B14" s="15"/>
      <c r="C14" s="21"/>
      <c r="D14" s="16"/>
      <c r="E14" s="17"/>
      <c r="F14" s="18"/>
      <c r="G14" s="19"/>
      <c r="H14" s="20"/>
    </row>
    <row r="15" spans="1:9" s="3" customFormat="1" x14ac:dyDescent="0.25">
      <c r="B15" s="15"/>
      <c r="C15" s="21"/>
      <c r="D15" s="16"/>
      <c r="E15" s="17"/>
      <c r="F15" s="18"/>
      <c r="G15" s="19"/>
      <c r="H15" s="20"/>
    </row>
    <row r="16" spans="1:9" s="3" customFormat="1" x14ac:dyDescent="0.25">
      <c r="B16" s="15"/>
      <c r="C16" s="21"/>
      <c r="D16" s="16"/>
      <c r="E16" s="17"/>
      <c r="F16" s="18"/>
      <c r="G16" s="19"/>
      <c r="H16" s="20"/>
    </row>
    <row r="17" spans="2:8" x14ac:dyDescent="0.25">
      <c r="B17" s="15"/>
      <c r="C17" s="21"/>
      <c r="D17" s="16"/>
      <c r="E17" s="17"/>
      <c r="F17" s="18"/>
      <c r="G17" s="19"/>
      <c r="H17" s="20"/>
    </row>
    <row r="18" spans="2:8" x14ac:dyDescent="0.25">
      <c r="B18" s="15"/>
      <c r="C18" s="21"/>
      <c r="D18" s="16"/>
      <c r="E18" s="17"/>
      <c r="F18" s="18"/>
      <c r="G18" s="19"/>
      <c r="H18" s="20"/>
    </row>
    <row r="19" spans="2:8" x14ac:dyDescent="0.25">
      <c r="B19" s="15"/>
      <c r="C19" s="21"/>
      <c r="D19" s="16"/>
      <c r="E19" s="17"/>
      <c r="F19" s="18"/>
      <c r="G19" s="19"/>
      <c r="H19" s="20"/>
    </row>
    <row r="20" spans="2:8" x14ac:dyDescent="0.25">
      <c r="B20" s="15"/>
      <c r="C20" s="21"/>
      <c r="D20" s="16"/>
      <c r="E20" s="17"/>
      <c r="F20" s="18"/>
      <c r="G20" s="19"/>
      <c r="H20" s="20"/>
    </row>
    <row r="21" spans="2:8" x14ac:dyDescent="0.25">
      <c r="B21" s="15"/>
      <c r="C21" s="21"/>
      <c r="D21" s="16"/>
      <c r="E21" s="17"/>
      <c r="F21" s="18"/>
      <c r="G21" s="19"/>
      <c r="H21" s="20"/>
    </row>
    <row r="22" spans="2:8" x14ac:dyDescent="0.25">
      <c r="B22" s="15"/>
      <c r="C22" s="21"/>
      <c r="D22" s="16"/>
      <c r="E22" s="17"/>
      <c r="F22" s="18"/>
      <c r="G22" s="19"/>
      <c r="H22" s="20"/>
    </row>
    <row r="23" spans="2:8" x14ac:dyDescent="0.25">
      <c r="B23" s="15"/>
      <c r="C23" s="21"/>
      <c r="D23" s="16"/>
      <c r="E23" s="17"/>
      <c r="F23" s="18"/>
      <c r="G23" s="19"/>
      <c r="H23" s="20"/>
    </row>
    <row r="24" spans="2:8" x14ac:dyDescent="0.25">
      <c r="B24" s="15"/>
      <c r="C24" s="21"/>
      <c r="D24" s="16"/>
      <c r="E24" s="17"/>
      <c r="F24" s="18"/>
      <c r="G24" s="19"/>
      <c r="H24" s="20"/>
    </row>
    <row r="25" spans="2:8" x14ac:dyDescent="0.25">
      <c r="B25" s="15"/>
      <c r="C25" s="21"/>
      <c r="D25" s="16"/>
      <c r="E25" s="17"/>
      <c r="F25" s="18"/>
      <c r="G25" s="19"/>
      <c r="H25" s="20"/>
    </row>
    <row r="26" spans="2:8" x14ac:dyDescent="0.25">
      <c r="B26" s="15"/>
      <c r="C26" s="21"/>
      <c r="D26" s="16"/>
      <c r="E26" s="17"/>
      <c r="F26" s="18"/>
      <c r="G26" s="19"/>
      <c r="H26" s="20"/>
    </row>
    <row r="27" spans="2:8" x14ac:dyDescent="0.25">
      <c r="B27" s="15"/>
      <c r="C27" s="21"/>
      <c r="D27" s="16"/>
      <c r="E27" s="17"/>
      <c r="F27" s="18"/>
      <c r="G27" s="19"/>
      <c r="H27" s="20"/>
    </row>
    <row r="28" spans="2:8" x14ac:dyDescent="0.25">
      <c r="B28" s="15"/>
      <c r="C28" s="21"/>
      <c r="D28" s="16"/>
      <c r="E28" s="17"/>
      <c r="F28" s="18"/>
      <c r="G28" s="19"/>
      <c r="H28" s="20"/>
    </row>
    <row r="29" spans="2:8" x14ac:dyDescent="0.25">
      <c r="B29" s="15"/>
      <c r="C29" s="21"/>
      <c r="D29" s="16"/>
      <c r="E29" s="17"/>
      <c r="F29" s="18"/>
      <c r="G29" s="19"/>
      <c r="H29" s="20"/>
    </row>
    <row r="30" spans="2:8" x14ac:dyDescent="0.25">
      <c r="B30" s="15"/>
      <c r="C30" s="21"/>
      <c r="D30" s="16"/>
      <c r="E30" s="17"/>
      <c r="F30" s="18"/>
      <c r="G30" s="19"/>
      <c r="H30" s="20"/>
    </row>
    <row r="31" spans="2:8" x14ac:dyDescent="0.25">
      <c r="B31" s="15"/>
      <c r="C31" s="21"/>
      <c r="D31" s="16"/>
      <c r="E31" s="17"/>
      <c r="F31" s="18"/>
      <c r="G31" s="19"/>
      <c r="H31" s="20"/>
    </row>
    <row r="32" spans="2:8" x14ac:dyDescent="0.25">
      <c r="B32" s="15"/>
      <c r="C32" s="21"/>
      <c r="D32" s="16"/>
      <c r="E32" s="17"/>
      <c r="F32" s="18"/>
      <c r="G32" s="19"/>
      <c r="H32" s="20"/>
    </row>
    <row r="33" spans="2:8" x14ac:dyDescent="0.25">
      <c r="B33" s="15"/>
      <c r="C33" s="21"/>
      <c r="D33" s="16"/>
      <c r="E33" s="17"/>
      <c r="F33" s="18"/>
      <c r="G33" s="19"/>
      <c r="H33" s="20"/>
    </row>
    <row r="34" spans="2:8" x14ac:dyDescent="0.25">
      <c r="B34" s="15"/>
      <c r="C34" s="21"/>
      <c r="D34" s="16"/>
      <c r="E34" s="17"/>
      <c r="F34" s="18"/>
      <c r="G34" s="19"/>
      <c r="H34" s="20"/>
    </row>
    <row r="35" spans="2:8" x14ac:dyDescent="0.25">
      <c r="B35" s="15"/>
      <c r="C35" s="21"/>
      <c r="D35" s="16"/>
      <c r="E35" s="17"/>
      <c r="F35" s="18"/>
      <c r="G35" s="19"/>
      <c r="H35" s="20"/>
    </row>
    <row r="36" spans="2:8" x14ac:dyDescent="0.25">
      <c r="B36" s="15"/>
      <c r="C36" s="21"/>
      <c r="D36" s="16"/>
      <c r="E36" s="17"/>
      <c r="F36" s="18"/>
      <c r="G36" s="19"/>
      <c r="H36" s="20"/>
    </row>
    <row r="37" spans="2:8" x14ac:dyDescent="0.25">
      <c r="B37" s="15"/>
      <c r="C37" s="21"/>
      <c r="D37" s="16"/>
      <c r="E37" s="17"/>
      <c r="F37" s="18"/>
      <c r="G37" s="19"/>
      <c r="H37" s="20"/>
    </row>
    <row r="38" spans="2:8" x14ac:dyDescent="0.25">
      <c r="B38" s="15"/>
      <c r="C38" s="21"/>
      <c r="D38" s="16"/>
      <c r="E38" s="17"/>
      <c r="F38" s="18"/>
      <c r="G38" s="19"/>
      <c r="H38" s="20"/>
    </row>
    <row r="39" spans="2:8" x14ac:dyDescent="0.25">
      <c r="B39" s="15"/>
      <c r="C39" s="21"/>
      <c r="D39" s="16"/>
      <c r="E39" s="17"/>
      <c r="F39" s="18"/>
      <c r="G39" s="19"/>
      <c r="H39" s="20"/>
    </row>
    <row r="40" spans="2:8" x14ac:dyDescent="0.25">
      <c r="B40" s="15"/>
      <c r="C40" s="21"/>
      <c r="D40" s="16"/>
      <c r="E40" s="17"/>
      <c r="F40" s="18"/>
      <c r="G40" s="19"/>
      <c r="H40" s="20"/>
    </row>
    <row r="41" spans="2:8" x14ac:dyDescent="0.25">
      <c r="B41" s="15"/>
      <c r="C41" s="21"/>
      <c r="D41" s="16"/>
      <c r="E41" s="17"/>
      <c r="F41" s="18"/>
      <c r="G41" s="19"/>
      <c r="H41" s="20"/>
    </row>
    <row r="42" spans="2:8" x14ac:dyDescent="0.25">
      <c r="B42" s="15"/>
      <c r="C42" s="21"/>
      <c r="D42" s="16"/>
      <c r="E42" s="17"/>
      <c r="F42" s="18"/>
      <c r="G42" s="19"/>
      <c r="H42" s="20"/>
    </row>
    <row r="43" spans="2:8" x14ac:dyDescent="0.25">
      <c r="B43" s="15"/>
      <c r="C43" s="21"/>
      <c r="D43" s="16"/>
      <c r="E43" s="17"/>
      <c r="F43" s="18"/>
      <c r="G43" s="19"/>
      <c r="H43" s="20"/>
    </row>
    <row r="44" spans="2:8" x14ac:dyDescent="0.25">
      <c r="B44" s="15"/>
      <c r="C44" s="21"/>
      <c r="D44" s="16"/>
      <c r="E44" s="17"/>
      <c r="F44" s="18"/>
      <c r="G44" s="19"/>
      <c r="H44" s="20"/>
    </row>
    <row r="45" spans="2:8" x14ac:dyDescent="0.25">
      <c r="B45" s="15"/>
      <c r="C45" s="21"/>
      <c r="D45" s="16"/>
      <c r="E45" s="17"/>
      <c r="F45" s="18"/>
      <c r="G45" s="19"/>
      <c r="H45" s="20"/>
    </row>
    <row r="46" spans="2:8" x14ac:dyDescent="0.25">
      <c r="B46" s="15"/>
      <c r="C46" s="21"/>
      <c r="D46" s="16"/>
      <c r="E46" s="17"/>
      <c r="F46" s="18"/>
      <c r="G46" s="19"/>
      <c r="H46" s="20"/>
    </row>
    <row r="47" spans="2:8" x14ac:dyDescent="0.25">
      <c r="B47" s="15"/>
      <c r="C47" s="21"/>
      <c r="D47" s="16"/>
      <c r="E47" s="17"/>
      <c r="F47" s="18"/>
      <c r="G47" s="19"/>
      <c r="H47" s="20"/>
    </row>
    <row r="48" spans="2:8" x14ac:dyDescent="0.25">
      <c r="B48" s="15"/>
      <c r="C48" s="21"/>
      <c r="D48" s="16"/>
      <c r="E48" s="17"/>
      <c r="F48" s="18"/>
      <c r="G48" s="19"/>
      <c r="H48" s="20"/>
    </row>
    <row r="49" spans="2:8" x14ac:dyDescent="0.25">
      <c r="B49" s="15"/>
      <c r="C49" s="21"/>
      <c r="D49" s="16"/>
      <c r="E49" s="17"/>
      <c r="F49" s="18"/>
      <c r="G49" s="19"/>
      <c r="H49" s="20"/>
    </row>
    <row r="50" spans="2:8" x14ac:dyDescent="0.25">
      <c r="B50" s="15"/>
      <c r="C50" s="21"/>
      <c r="D50" s="16"/>
      <c r="E50" s="17"/>
      <c r="F50" s="18"/>
      <c r="G50" s="19"/>
      <c r="H50" s="20"/>
    </row>
    <row r="51" spans="2:8" x14ac:dyDescent="0.25">
      <c r="B51" s="15"/>
      <c r="C51" s="21"/>
      <c r="D51" s="16"/>
      <c r="E51" s="17"/>
      <c r="F51" s="18"/>
      <c r="G51" s="19"/>
      <c r="H51" s="20"/>
    </row>
    <row r="52" spans="2:8" x14ac:dyDescent="0.25">
      <c r="B52" s="15"/>
      <c r="C52" s="21"/>
      <c r="D52" s="16"/>
      <c r="E52" s="17"/>
      <c r="F52" s="18"/>
      <c r="G52" s="19"/>
      <c r="H52" s="20"/>
    </row>
    <row r="53" spans="2:8" x14ac:dyDescent="0.25">
      <c r="B53" s="15"/>
      <c r="C53" s="21"/>
      <c r="D53" s="16"/>
      <c r="E53" s="17"/>
      <c r="F53" s="18"/>
      <c r="G53" s="19"/>
      <c r="H53" s="20"/>
    </row>
    <row r="54" spans="2:8" x14ac:dyDescent="0.25">
      <c r="B54" s="15"/>
      <c r="C54" s="21"/>
      <c r="D54" s="16"/>
      <c r="E54" s="17"/>
      <c r="F54" s="18"/>
      <c r="G54" s="19"/>
      <c r="H54" s="20"/>
    </row>
    <row r="55" spans="2:8" x14ac:dyDescent="0.25">
      <c r="B55" s="15"/>
      <c r="C55" s="21"/>
      <c r="D55" s="16"/>
      <c r="E55" s="17"/>
      <c r="F55" s="18"/>
      <c r="G55" s="19"/>
      <c r="H55" s="20"/>
    </row>
    <row r="56" spans="2:8" x14ac:dyDescent="0.25">
      <c r="B56" s="15"/>
      <c r="C56" s="21"/>
      <c r="D56" s="16"/>
      <c r="E56" s="17"/>
      <c r="F56" s="18"/>
      <c r="G56" s="19"/>
      <c r="H56" s="20"/>
    </row>
    <row r="57" spans="2:8" x14ac:dyDescent="0.25">
      <c r="B57" s="15"/>
      <c r="C57" s="21"/>
      <c r="D57" s="16"/>
      <c r="E57" s="17"/>
      <c r="F57" s="18"/>
      <c r="G57" s="19"/>
      <c r="H57" s="20"/>
    </row>
    <row r="58" spans="2:8" x14ac:dyDescent="0.25">
      <c r="B58" s="15"/>
      <c r="C58" s="21"/>
      <c r="D58" s="16"/>
      <c r="E58" s="17"/>
      <c r="F58" s="18"/>
      <c r="G58" s="19"/>
      <c r="H58" s="20"/>
    </row>
    <row r="59" spans="2:8" x14ac:dyDescent="0.25">
      <c r="B59" s="15"/>
      <c r="C59" s="21"/>
      <c r="D59" s="16"/>
      <c r="E59" s="17"/>
      <c r="F59" s="18"/>
      <c r="G59" s="19"/>
      <c r="H59" s="20"/>
    </row>
    <row r="60" spans="2:8" x14ac:dyDescent="0.25">
      <c r="B60" s="15"/>
      <c r="C60" s="21"/>
      <c r="D60" s="16"/>
      <c r="E60" s="17"/>
      <c r="F60" s="18"/>
      <c r="G60" s="19"/>
      <c r="H60" s="20"/>
    </row>
    <row r="61" spans="2:8" x14ac:dyDescent="0.25">
      <c r="B61" s="15"/>
      <c r="C61" s="21"/>
      <c r="D61" s="16"/>
      <c r="E61" s="17"/>
      <c r="F61" s="18"/>
      <c r="G61" s="19"/>
      <c r="H61" s="20"/>
    </row>
    <row r="62" spans="2:8" x14ac:dyDescent="0.25">
      <c r="B62" s="15"/>
      <c r="C62" s="21"/>
      <c r="D62" s="16"/>
      <c r="E62" s="17"/>
      <c r="F62" s="18"/>
      <c r="G62" s="19"/>
      <c r="H62" s="20"/>
    </row>
    <row r="63" spans="2:8" x14ac:dyDescent="0.25">
      <c r="B63" s="15"/>
      <c r="C63" s="21"/>
      <c r="D63" s="16"/>
      <c r="E63" s="17"/>
      <c r="F63" s="18"/>
      <c r="G63" s="19"/>
      <c r="H63" s="20"/>
    </row>
    <row r="64" spans="2:8" x14ac:dyDescent="0.25">
      <c r="B64" s="15"/>
      <c r="C64" s="21"/>
      <c r="D64" s="16"/>
      <c r="E64" s="17"/>
      <c r="F64" s="18"/>
      <c r="G64" s="19"/>
      <c r="H64" s="20"/>
    </row>
    <row r="65" spans="2:8" x14ac:dyDescent="0.25">
      <c r="B65" s="15"/>
      <c r="C65" s="21"/>
      <c r="D65" s="16"/>
      <c r="E65" s="17"/>
      <c r="F65" s="18"/>
      <c r="G65" s="19"/>
      <c r="H65" s="20"/>
    </row>
    <row r="66" spans="2:8" x14ac:dyDescent="0.25">
      <c r="B66" s="15"/>
      <c r="C66" s="21"/>
      <c r="D66" s="16"/>
      <c r="E66" s="17"/>
      <c r="F66" s="18"/>
      <c r="G66" s="19"/>
      <c r="H66" s="20"/>
    </row>
    <row r="67" spans="2:8" x14ac:dyDescent="0.25">
      <c r="B67" s="15"/>
      <c r="C67" s="21"/>
      <c r="D67" s="16"/>
      <c r="E67" s="17"/>
      <c r="F67" s="18"/>
      <c r="G67" s="19"/>
      <c r="H67" s="20"/>
    </row>
    <row r="68" spans="2:8" x14ac:dyDescent="0.25">
      <c r="B68" s="15"/>
      <c r="C68" s="21"/>
      <c r="D68" s="16"/>
      <c r="E68" s="17"/>
      <c r="F68" s="18"/>
      <c r="G68" s="19"/>
      <c r="H68" s="20"/>
    </row>
    <row r="69" spans="2:8" x14ac:dyDescent="0.25">
      <c r="B69" s="15"/>
      <c r="C69" s="21"/>
      <c r="D69" s="16"/>
      <c r="E69" s="17"/>
      <c r="F69" s="18"/>
      <c r="G69" s="19"/>
      <c r="H69" s="20"/>
    </row>
    <row r="70" spans="2:8" x14ac:dyDescent="0.25">
      <c r="B70" s="15"/>
      <c r="C70" s="21"/>
      <c r="D70" s="16"/>
      <c r="E70" s="17"/>
      <c r="F70" s="18"/>
      <c r="G70" s="19"/>
      <c r="H70" s="20"/>
    </row>
    <row r="71" spans="2:8" x14ac:dyDescent="0.25">
      <c r="B71" s="15"/>
      <c r="C71" s="21"/>
      <c r="D71" s="16"/>
      <c r="E71" s="17"/>
      <c r="F71" s="18"/>
      <c r="G71" s="19"/>
      <c r="H71" s="20"/>
    </row>
    <row r="72" spans="2:8" x14ac:dyDescent="0.25">
      <c r="B72" s="15"/>
      <c r="C72" s="21"/>
      <c r="D72" s="16"/>
      <c r="E72" s="17"/>
      <c r="F72" s="18"/>
      <c r="G72" s="19"/>
      <c r="H72" s="20"/>
    </row>
    <row r="73" spans="2:8" x14ac:dyDescent="0.25">
      <c r="B73" s="15"/>
      <c r="C73" s="21"/>
      <c r="D73" s="16"/>
      <c r="E73" s="17"/>
      <c r="F73" s="18"/>
      <c r="G73" s="19"/>
      <c r="H73" s="20"/>
    </row>
    <row r="74" spans="2:8" x14ac:dyDescent="0.25">
      <c r="B74" s="15"/>
      <c r="C74" s="21"/>
      <c r="D74" s="16"/>
      <c r="E74" s="17"/>
      <c r="F74" s="18"/>
      <c r="G74" s="19"/>
      <c r="H74" s="20"/>
    </row>
    <row r="75" spans="2:8" x14ac:dyDescent="0.25">
      <c r="B75" s="15"/>
      <c r="C75" s="21"/>
      <c r="D75" s="16"/>
      <c r="E75" s="17"/>
      <c r="F75" s="18"/>
      <c r="G75" s="19"/>
      <c r="H75" s="20"/>
    </row>
    <row r="76" spans="2:8" x14ac:dyDescent="0.25">
      <c r="B76" s="15"/>
      <c r="C76" s="21"/>
      <c r="D76" s="16"/>
      <c r="E76" s="17"/>
      <c r="F76" s="18"/>
      <c r="G76" s="19"/>
      <c r="H76" s="20"/>
    </row>
    <row r="77" spans="2:8" x14ac:dyDescent="0.25">
      <c r="B77" s="15"/>
      <c r="C77" s="21"/>
      <c r="D77" s="16"/>
      <c r="E77" s="17"/>
      <c r="F77" s="18"/>
      <c r="G77" s="19"/>
      <c r="H77" s="20"/>
    </row>
    <row r="78" spans="2:8" x14ac:dyDescent="0.25">
      <c r="B78" s="15"/>
      <c r="C78" s="21"/>
      <c r="D78" s="16"/>
      <c r="E78" s="17"/>
      <c r="F78" s="18"/>
      <c r="G78" s="19"/>
      <c r="H78" s="20"/>
    </row>
    <row r="79" spans="2:8" x14ac:dyDescent="0.25">
      <c r="B79" s="15"/>
      <c r="C79" s="21"/>
      <c r="D79" s="16"/>
      <c r="E79" s="17"/>
      <c r="F79" s="18"/>
      <c r="G79" s="19"/>
      <c r="H79" s="20"/>
    </row>
    <row r="80" spans="2:8" x14ac:dyDescent="0.25">
      <c r="B80" s="15"/>
      <c r="C80" s="21"/>
      <c r="D80" s="16"/>
      <c r="E80" s="17"/>
      <c r="F80" s="18"/>
      <c r="G80" s="19"/>
      <c r="H80" s="20"/>
    </row>
    <row r="81" spans="2:8" x14ac:dyDescent="0.25">
      <c r="B81" s="15"/>
      <c r="C81" s="21"/>
      <c r="D81" s="16"/>
      <c r="E81" s="17"/>
      <c r="F81" s="18"/>
      <c r="G81" s="19"/>
      <c r="H81" s="20"/>
    </row>
    <row r="82" spans="2:8" x14ac:dyDescent="0.25">
      <c r="B82" s="15"/>
      <c r="C82" s="21"/>
      <c r="D82" s="16"/>
      <c r="E82" s="17"/>
      <c r="F82" s="18"/>
      <c r="G82" s="19"/>
      <c r="H82" s="20"/>
    </row>
    <row r="83" spans="2:8" x14ac:dyDescent="0.25">
      <c r="B83" s="15"/>
      <c r="C83" s="21"/>
      <c r="D83" s="16"/>
      <c r="E83" s="17"/>
      <c r="F83" s="18"/>
      <c r="G83" s="19"/>
      <c r="H83" s="20"/>
    </row>
    <row r="84" spans="2:8" x14ac:dyDescent="0.25">
      <c r="B84" s="15"/>
      <c r="C84" s="21"/>
      <c r="D84" s="16"/>
      <c r="E84" s="17"/>
      <c r="F84" s="18"/>
      <c r="G84" s="19"/>
      <c r="H84" s="20"/>
    </row>
    <row r="85" spans="2:8" x14ac:dyDescent="0.25">
      <c r="B85" s="15"/>
      <c r="C85" s="21"/>
      <c r="D85" s="16"/>
      <c r="E85" s="17"/>
      <c r="F85" s="18"/>
      <c r="G85" s="19"/>
      <c r="H85" s="20"/>
    </row>
    <row r="86" spans="2:8" x14ac:dyDescent="0.25">
      <c r="B86" s="15"/>
      <c r="C86" s="21"/>
      <c r="D86" s="16"/>
      <c r="E86" s="17"/>
      <c r="F86" s="18"/>
      <c r="G86" s="19"/>
      <c r="H86" s="20"/>
    </row>
    <row r="87" spans="2:8" x14ac:dyDescent="0.25">
      <c r="B87" s="15"/>
      <c r="C87" s="21"/>
      <c r="D87" s="16"/>
      <c r="E87" s="17"/>
      <c r="F87" s="18"/>
      <c r="G87" s="19"/>
      <c r="H87" s="20"/>
    </row>
    <row r="88" spans="2:8" x14ac:dyDescent="0.25">
      <c r="B88" s="15"/>
      <c r="C88" s="21"/>
      <c r="D88" s="16"/>
      <c r="E88" s="17"/>
      <c r="F88" s="18"/>
      <c r="G88" s="19"/>
      <c r="H88" s="20"/>
    </row>
    <row r="89" spans="2:8" x14ac:dyDescent="0.25">
      <c r="B89" s="15"/>
      <c r="C89" s="21"/>
      <c r="D89" s="16"/>
      <c r="E89" s="17"/>
      <c r="F89" s="18"/>
      <c r="G89" s="19"/>
      <c r="H89" s="20"/>
    </row>
    <row r="90" spans="2:8" x14ac:dyDescent="0.25">
      <c r="B90" s="15"/>
      <c r="C90" s="21"/>
      <c r="D90" s="16"/>
      <c r="E90" s="17"/>
      <c r="F90" s="18"/>
      <c r="G90" s="19"/>
      <c r="H90" s="20"/>
    </row>
    <row r="91" spans="2:8" x14ac:dyDescent="0.25">
      <c r="B91" s="15"/>
      <c r="C91" s="21"/>
      <c r="D91" s="16"/>
      <c r="E91" s="17"/>
      <c r="F91" s="18"/>
      <c r="G91" s="19"/>
      <c r="H91" s="20"/>
    </row>
    <row r="92" spans="2:8" x14ac:dyDescent="0.25">
      <c r="B92" s="15"/>
      <c r="C92" s="21"/>
      <c r="D92" s="16"/>
      <c r="E92" s="17"/>
      <c r="F92" s="18"/>
      <c r="G92" s="19"/>
      <c r="H92" s="20"/>
    </row>
    <row r="93" spans="2:8" x14ac:dyDescent="0.25">
      <c r="B93" s="15"/>
      <c r="C93" s="21"/>
      <c r="D93" s="16"/>
      <c r="E93" s="17"/>
      <c r="F93" s="18"/>
      <c r="G93" s="19"/>
      <c r="H93" s="20"/>
    </row>
    <row r="94" spans="2:8" x14ac:dyDescent="0.25">
      <c r="B94" s="15"/>
      <c r="C94" s="21"/>
      <c r="D94" s="16"/>
      <c r="E94" s="17"/>
      <c r="F94" s="18"/>
      <c r="G94" s="19"/>
      <c r="H94" s="20"/>
    </row>
    <row r="95" spans="2:8" x14ac:dyDescent="0.25">
      <c r="B95" s="15"/>
      <c r="C95" s="21"/>
      <c r="D95" s="16"/>
      <c r="E95" s="17"/>
      <c r="F95" s="18"/>
      <c r="G95" s="19"/>
      <c r="H95" s="20"/>
    </row>
    <row r="96" spans="2:8" x14ac:dyDescent="0.25">
      <c r="B96" s="15"/>
      <c r="C96" s="21"/>
      <c r="D96" s="16"/>
      <c r="E96" s="17"/>
      <c r="F96" s="18"/>
      <c r="G96" s="19"/>
      <c r="H96" s="20"/>
    </row>
    <row r="97" spans="2:8" x14ac:dyDescent="0.25">
      <c r="B97" s="15"/>
      <c r="C97" s="21"/>
      <c r="D97" s="16"/>
      <c r="E97" s="17"/>
      <c r="F97" s="18"/>
      <c r="G97" s="19"/>
      <c r="H97" s="20"/>
    </row>
    <row r="98" spans="2:8" x14ac:dyDescent="0.25">
      <c r="B98" s="15"/>
      <c r="C98" s="21"/>
      <c r="D98" s="16"/>
      <c r="E98" s="17"/>
      <c r="F98" s="18"/>
      <c r="G98" s="19"/>
      <c r="H98" s="20"/>
    </row>
    <row r="99" spans="2:8" x14ac:dyDescent="0.25">
      <c r="B99" s="15"/>
      <c r="C99" s="21"/>
      <c r="D99" s="16"/>
      <c r="E99" s="17"/>
      <c r="F99" s="18"/>
      <c r="G99" s="19"/>
      <c r="H99" s="20"/>
    </row>
    <row r="100" spans="2:8" x14ac:dyDescent="0.25">
      <c r="B100" s="15"/>
      <c r="C100" s="21"/>
      <c r="D100" s="16"/>
      <c r="E100" s="17"/>
      <c r="F100" s="18"/>
      <c r="G100" s="19"/>
      <c r="H100" s="20"/>
    </row>
    <row r="101" spans="2:8" x14ac:dyDescent="0.25">
      <c r="B101" s="15"/>
      <c r="C101" s="21"/>
      <c r="D101" s="16"/>
      <c r="E101" s="17"/>
      <c r="F101" s="18"/>
      <c r="G101" s="19"/>
      <c r="H101" s="20"/>
    </row>
    <row r="102" spans="2:8" x14ac:dyDescent="0.25">
      <c r="B102" s="15"/>
      <c r="C102" s="21"/>
      <c r="D102" s="16"/>
      <c r="E102" s="17"/>
      <c r="F102" s="18"/>
      <c r="G102" s="19"/>
      <c r="H102" s="20"/>
    </row>
    <row r="103" spans="2:8" x14ac:dyDescent="0.25">
      <c r="B103" s="15"/>
      <c r="C103" s="21"/>
      <c r="D103" s="16"/>
      <c r="E103" s="17"/>
      <c r="F103" s="18"/>
      <c r="G103" s="19"/>
      <c r="H103" s="20"/>
    </row>
    <row r="104" spans="2:8" x14ac:dyDescent="0.25">
      <c r="B104" s="15"/>
      <c r="C104" s="21"/>
      <c r="D104" s="16"/>
      <c r="E104" s="17"/>
      <c r="F104" s="18"/>
      <c r="G104" s="19"/>
      <c r="H104" s="20"/>
    </row>
    <row r="105" spans="2:8" x14ac:dyDescent="0.25">
      <c r="B105" s="15"/>
      <c r="C105" s="21"/>
      <c r="D105" s="16"/>
      <c r="E105" s="17"/>
      <c r="F105" s="18"/>
      <c r="G105" s="19"/>
      <c r="H105" s="20"/>
    </row>
    <row r="106" spans="2:8" x14ac:dyDescent="0.25">
      <c r="B106" s="15"/>
      <c r="C106" s="21"/>
      <c r="D106" s="16"/>
      <c r="E106" s="17"/>
      <c r="F106" s="18"/>
      <c r="G106" s="19"/>
      <c r="H106" s="20"/>
    </row>
    <row r="107" spans="2:8" x14ac:dyDescent="0.25">
      <c r="B107" s="15"/>
      <c r="C107" s="21"/>
      <c r="D107" s="16"/>
      <c r="E107" s="17"/>
      <c r="F107" s="18"/>
      <c r="G107" s="19"/>
      <c r="H107" s="20"/>
    </row>
    <row r="108" spans="2:8" x14ac:dyDescent="0.25">
      <c r="B108" s="15"/>
      <c r="C108" s="21"/>
      <c r="D108" s="16"/>
      <c r="E108" s="17"/>
      <c r="F108" s="18"/>
      <c r="G108" s="19"/>
      <c r="H108" s="20"/>
    </row>
    <row r="109" spans="2:8" x14ac:dyDescent="0.25">
      <c r="B109" s="15"/>
      <c r="C109" s="21"/>
      <c r="D109" s="16"/>
      <c r="E109" s="17"/>
      <c r="F109" s="18"/>
      <c r="G109" s="19"/>
      <c r="H109" s="20"/>
    </row>
    <row r="110" spans="2:8" x14ac:dyDescent="0.25">
      <c r="B110" s="15"/>
      <c r="C110" s="21"/>
      <c r="D110" s="16"/>
      <c r="E110" s="17"/>
      <c r="F110" s="18"/>
      <c r="G110" s="19"/>
      <c r="H110" s="20"/>
    </row>
    <row r="111" spans="2:8" x14ac:dyDescent="0.25">
      <c r="B111" s="15"/>
      <c r="C111" s="21"/>
      <c r="D111" s="16"/>
      <c r="E111" s="17"/>
      <c r="F111" s="18"/>
      <c r="G111" s="19"/>
      <c r="H111" s="20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7"/>
  <sheetViews>
    <sheetView workbookViewId="0"/>
  </sheetViews>
  <sheetFormatPr baseColWidth="10" defaultRowHeight="12.5" x14ac:dyDescent="0.25"/>
  <sheetData>
    <row r="1" spans="1:256" x14ac:dyDescent="0.25">
      <c r="A1" t="s">
        <v>19</v>
      </c>
      <c r="F1" t="e">
        <f>'Programme annuel'!A:A*"?g(!%"</f>
        <v>#VALUE!</v>
      </c>
      <c r="G1" t="e">
        <f>'Programme annuel'!B:B*"?g(!&amp;"</f>
        <v>#VALUE!</v>
      </c>
      <c r="H1" t="e">
        <f>'Programme annuel'!C:C*"?g(!'"</f>
        <v>#VALUE!</v>
      </c>
      <c r="I1" t="e">
        <f>'Programme annuel'!D:D*"?g(!("</f>
        <v>#VALUE!</v>
      </c>
      <c r="J1" t="e">
        <f>'Programme annuel'!E:E*"?g(!)"</f>
        <v>#VALUE!</v>
      </c>
      <c r="K1" t="e">
        <f>'Programme annuel'!F:F*"?g(!."</f>
        <v>#VALUE!</v>
      </c>
      <c r="L1" t="e">
        <f>'Programme annuel'!G:G*"?g(!/"</f>
        <v>#VALUE!</v>
      </c>
      <c r="M1" t="e">
        <f>'Programme annuel'!H:H*"?g(!0"</f>
        <v>#VALUE!</v>
      </c>
      <c r="N1" t="e">
        <f>'Programme annuel'!I:I*"?g(!1"</f>
        <v>#VALUE!</v>
      </c>
      <c r="O1" t="e">
        <f>'Programme annuel'!J:J*"?g(!2"</f>
        <v>#VALUE!</v>
      </c>
      <c r="P1" t="e">
        <f>'Programme annuel'!K:K*"?g(!3"</f>
        <v>#VALUE!</v>
      </c>
      <c r="Q1" t="e">
        <f>'Programme annuel'!L:L*"?g(!4"</f>
        <v>#VALUE!</v>
      </c>
      <c r="R1" t="e">
        <f>'Programme annuel'!M:M*"?g(!5"</f>
        <v>#VALUE!</v>
      </c>
      <c r="S1" t="e">
        <f>'Programme annuel'!N:N*"?g(!6"</f>
        <v>#VALUE!</v>
      </c>
      <c r="T1" t="e">
        <f>'Programme annuel'!O:O*"?g(!7"</f>
        <v>#VALUE!</v>
      </c>
      <c r="U1" t="e">
        <f>'Programme annuel'!P:P*"?g(!8"</f>
        <v>#VALUE!</v>
      </c>
      <c r="V1" t="e">
        <f>'Programme annuel'!Q:Q*"?g(!9"</f>
        <v>#VALUE!</v>
      </c>
      <c r="W1" t="e">
        <f>'Programme annuel'!R:R*"?g(!:"</f>
        <v>#VALUE!</v>
      </c>
      <c r="X1" t="e">
        <f>'Programme annuel'!S:S*"?g(!;"</f>
        <v>#VALUE!</v>
      </c>
      <c r="Y1" t="e">
        <f>'Programme annuel'!T:T*"?g(!&lt;"</f>
        <v>#VALUE!</v>
      </c>
      <c r="Z1" t="e">
        <f>'Programme annuel'!U:U*"?g(!="</f>
        <v>#VALUE!</v>
      </c>
      <c r="AA1" t="e">
        <f>'Programme annuel'!V:V*"?g(!&gt;"</f>
        <v>#VALUE!</v>
      </c>
      <c r="AB1" t="e">
        <f>'Programme annuel'!W:W*"?g(!?"</f>
        <v>#VALUE!</v>
      </c>
      <c r="AC1" t="e">
        <f>'Programme annuel'!X:X*"?g(!@"</f>
        <v>#VALUE!</v>
      </c>
      <c r="AD1" t="e">
        <f>'Programme annuel'!Y:Y*"?g(!A"</f>
        <v>#VALUE!</v>
      </c>
      <c r="AE1" t="e">
        <f>'Programme annuel'!Z:Z*"?g(!B"</f>
        <v>#VALUE!</v>
      </c>
      <c r="AF1" t="e">
        <f>'Programme annuel'!AA:AA*"?g(!C"</f>
        <v>#VALUE!</v>
      </c>
      <c r="AG1" t="e">
        <f>'Programme annuel'!AB:AB*"?g(!D"</f>
        <v>#VALUE!</v>
      </c>
      <c r="AH1" t="e">
        <f>'Programme annuel'!AC:AC*"?g(!E"</f>
        <v>#VALUE!</v>
      </c>
      <c r="AI1" t="e">
        <f>'Programme annuel'!AD:AD*"?g(!F"</f>
        <v>#VALUE!</v>
      </c>
      <c r="AJ1" t="e">
        <f>'Programme annuel'!AE:AE*"?g(!G"</f>
        <v>#VALUE!</v>
      </c>
      <c r="AK1" t="e">
        <f>'Programme annuel'!AF:AF*"?g(!H"</f>
        <v>#VALUE!</v>
      </c>
      <c r="AL1" t="e">
        <f>'Programme annuel'!AG:AG*"?g(!I"</f>
        <v>#VALUE!</v>
      </c>
      <c r="AM1" t="e">
        <f>'Programme annuel'!AH:AH*"?g(!J"</f>
        <v>#VALUE!</v>
      </c>
      <c r="AN1" t="e">
        <f>'Programme annuel'!AI:AI*"?g(!K"</f>
        <v>#VALUE!</v>
      </c>
      <c r="AO1" t="e">
        <f>'Programme annuel'!AJ:AJ*"?g(!L"</f>
        <v>#VALUE!</v>
      </c>
      <c r="AP1" t="e">
        <f>'Programme annuel'!AK:AK*"?g(!M"</f>
        <v>#VALUE!</v>
      </c>
      <c r="AQ1" t="e">
        <f>'Programme annuel'!AL:AL*"?g(!N"</f>
        <v>#VALUE!</v>
      </c>
      <c r="AR1" t="e">
        <f>'Programme annuel'!AM:AM*"?g(!O"</f>
        <v>#VALUE!</v>
      </c>
      <c r="AS1" t="e">
        <f>'Programme annuel'!AN:AN*"?g(!P"</f>
        <v>#VALUE!</v>
      </c>
      <c r="AT1" t="e">
        <f>'Programme annuel'!AO:AO*"?g(!Q"</f>
        <v>#VALUE!</v>
      </c>
      <c r="AU1" t="e">
        <f>'Programme annuel'!AP:AP*"?g(!R"</f>
        <v>#VALUE!</v>
      </c>
      <c r="AV1" t="e">
        <f>'Programme annuel'!AQ:AQ*"?g(!S"</f>
        <v>#VALUE!</v>
      </c>
      <c r="AW1" t="e">
        <f>'Programme annuel'!AR:AR*"?g(!T"</f>
        <v>#VALUE!</v>
      </c>
      <c r="AX1" t="e">
        <f>'Programme annuel'!AS:AS*"?g(!U"</f>
        <v>#VALUE!</v>
      </c>
      <c r="AY1" t="e">
        <f>'Programme annuel'!AT:AT*"?g(!V"</f>
        <v>#VALUE!</v>
      </c>
      <c r="AZ1" t="e">
        <f>'Programme annuel'!AU:AU*"?g(!W"</f>
        <v>#VALUE!</v>
      </c>
      <c r="BA1" t="e">
        <f>'Programme annuel'!AV:AV*"?g(!X"</f>
        <v>#VALUE!</v>
      </c>
      <c r="BB1" t="e">
        <f>'Programme annuel'!AW:AW*"?g(!Y"</f>
        <v>#VALUE!</v>
      </c>
      <c r="BC1" t="e">
        <f>'Programme annuel'!AX:AX*"?g(!Z"</f>
        <v>#VALUE!</v>
      </c>
      <c r="BD1" t="e">
        <f>'Programme annuel'!AY:AY*"?g(!["</f>
        <v>#VALUE!</v>
      </c>
      <c r="BE1" t="e">
        <f>'Programme annuel'!AZ:AZ*"?g(!\"</f>
        <v>#VALUE!</v>
      </c>
      <c r="BF1" t="e">
        <f>'Programme annuel'!BA:BA*"?g(!]"</f>
        <v>#VALUE!</v>
      </c>
      <c r="BG1" t="e">
        <f>'Programme annuel'!BB:BB*"?g(!^"</f>
        <v>#VALUE!</v>
      </c>
      <c r="BH1" t="e">
        <f>'Programme annuel'!BC:BC*"?g(!_"</f>
        <v>#VALUE!</v>
      </c>
      <c r="BI1" t="e">
        <f>'Programme annuel'!BD:BD*"?g(!`"</f>
        <v>#VALUE!</v>
      </c>
      <c r="BJ1" t="e">
        <f>'Programme annuel'!BE:BE*"?g(!a"</f>
        <v>#VALUE!</v>
      </c>
      <c r="BK1" t="e">
        <f>'Programme annuel'!BF:BF*"?g(!b"</f>
        <v>#VALUE!</v>
      </c>
      <c r="BL1" t="e">
        <f>'Programme annuel'!1:1-"?g(!c"</f>
        <v>#VALUE!</v>
      </c>
      <c r="BM1" t="e">
        <f>'Programme annuel'!2:2-"?g(!d"</f>
        <v>#VALUE!</v>
      </c>
      <c r="BN1" t="e">
        <f>'Programme annuel'!3:3-"?g(!e"</f>
        <v>#VALUE!</v>
      </c>
      <c r="BO1" t="e">
        <f>'Programme annuel'!4:4-"?g(!f"</f>
        <v>#VALUE!</v>
      </c>
      <c r="BP1" t="e">
        <f>'Programme annuel'!5:5-"?g(!g"</f>
        <v>#VALUE!</v>
      </c>
      <c r="BQ1" t="e">
        <f>'Programme annuel'!6:6-"?g(!h"</f>
        <v>#VALUE!</v>
      </c>
      <c r="BR1" t="e">
        <f>'Programme annuel'!7:7-"?g(!i"</f>
        <v>#VALUE!</v>
      </c>
      <c r="BS1" t="e">
        <f>'Programme annuel'!8:8-"?g(!j"</f>
        <v>#VALUE!</v>
      </c>
      <c r="BT1" t="e">
        <f>'Programme annuel'!9:9-"?g(!k"</f>
        <v>#VALUE!</v>
      </c>
      <c r="BU1" t="e">
        <f>'Programme annuel'!10:10-"?g(!l"</f>
        <v>#VALUE!</v>
      </c>
      <c r="BV1" t="e">
        <f>'Programme annuel'!11:11-"?g(!m"</f>
        <v>#VALUE!</v>
      </c>
      <c r="BW1" t="e">
        <f>'Programme annuel'!12:12-"?g(!n"</f>
        <v>#VALUE!</v>
      </c>
      <c r="BX1" t="e">
        <f>'Programme annuel'!13:13-"?g(!o"</f>
        <v>#VALUE!</v>
      </c>
      <c r="BY1" t="e">
        <f>'Programme annuel'!14:14-"?g(!p"</f>
        <v>#VALUE!</v>
      </c>
      <c r="BZ1" t="e">
        <f>'Programme annuel'!15:15-"?g(!q"</f>
        <v>#VALUE!</v>
      </c>
      <c r="CA1" t="e">
        <f>'Programme annuel'!16:16-"?g(!r"</f>
        <v>#VALUE!</v>
      </c>
      <c r="CB1" t="e">
        <f>'Programme annuel'!17:17-"?g(!s"</f>
        <v>#VALUE!</v>
      </c>
      <c r="CC1" t="e">
        <f>'Programme annuel'!18:18-"?g(!t"</f>
        <v>#VALUE!</v>
      </c>
      <c r="CD1" t="e">
        <f>'Programme annuel'!19:19-"?g(!u"</f>
        <v>#VALUE!</v>
      </c>
      <c r="CE1" t="e">
        <f>'Programme annuel'!20:20-"?g(!v"</f>
        <v>#VALUE!</v>
      </c>
      <c r="CF1" t="e">
        <f>'Programme annuel'!21:21-"?g(!w"</f>
        <v>#VALUE!</v>
      </c>
      <c r="CG1" t="e">
        <f>'Programme annuel'!22:22-"?g(!x"</f>
        <v>#VALUE!</v>
      </c>
      <c r="CH1" t="e">
        <f>'Programme annuel'!23:23-"?g(!y"</f>
        <v>#VALUE!</v>
      </c>
      <c r="CI1" t="e">
        <f>'Programme annuel'!24:24-"?g(!z"</f>
        <v>#VALUE!</v>
      </c>
      <c r="CJ1" t="e">
        <f>'Programme annuel'!25:25-"?g(!{"</f>
        <v>#VALUE!</v>
      </c>
      <c r="CK1" t="e">
        <f>'Programme annuel'!26:26-"?g(!|"</f>
        <v>#VALUE!</v>
      </c>
      <c r="CL1" t="e">
        <f>'Programme annuel'!27:27-"?g(!}"</f>
        <v>#VALUE!</v>
      </c>
      <c r="CM1" t="e">
        <f>'Programme annuel'!28:28-"?g(!~"</f>
        <v>#VALUE!</v>
      </c>
      <c r="CN1" t="e">
        <f>'Programme annuel'!29:29-"?g(!$#"</f>
        <v>#VALUE!</v>
      </c>
      <c r="CO1" t="e">
        <f>'Programme annuel'!30:30-"?g(!$$"</f>
        <v>#VALUE!</v>
      </c>
      <c r="CP1" t="e">
        <f>'Programme annuel'!31:31-"?g(!$%"</f>
        <v>#VALUE!</v>
      </c>
      <c r="CQ1" t="e">
        <f>'Programme annuel'!32:32-"?g(!$&amp;"</f>
        <v>#VALUE!</v>
      </c>
      <c r="CR1" t="e">
        <f>'Programme annuel'!33:33-"?g(!$'"</f>
        <v>#VALUE!</v>
      </c>
      <c r="CS1" t="e">
        <f>'Programme annuel'!34:34-"?g(!$("</f>
        <v>#VALUE!</v>
      </c>
      <c r="CT1" t="e">
        <f>'Programme annuel'!35:35-"?g(!$)"</f>
        <v>#VALUE!</v>
      </c>
      <c r="CU1" t="e">
        <f>'Programme annuel'!36:36-"?g(!$."</f>
        <v>#VALUE!</v>
      </c>
      <c r="CV1" t="e">
        <f>'Programme annuel'!37:37-"?g(!$/"</f>
        <v>#VALUE!</v>
      </c>
      <c r="CW1" t="e">
        <f>'Programme annuel'!38:38-"?g(!$0"</f>
        <v>#VALUE!</v>
      </c>
      <c r="CX1" t="e">
        <f>'Programme annuel'!39:39-"?g(!$1"</f>
        <v>#VALUE!</v>
      </c>
      <c r="CY1" t="e">
        <f>'Programme annuel'!40:40-"?g(!$2"</f>
        <v>#VALUE!</v>
      </c>
      <c r="CZ1" t="e">
        <f>'Programme annuel'!41:41-"?g(!$3"</f>
        <v>#VALUE!</v>
      </c>
      <c r="DA1" t="e">
        <f>'Programme annuel'!42:42-"?g(!$4"</f>
        <v>#VALUE!</v>
      </c>
      <c r="DB1" t="e">
        <f>'Programme annuel'!43:43-"?g(!$5"</f>
        <v>#VALUE!</v>
      </c>
      <c r="DC1" t="e">
        <f>'Programme annuel'!44:44-"?g(!$6"</f>
        <v>#VALUE!</v>
      </c>
      <c r="DD1" t="e">
        <f>'Programme annuel'!45:45-"?g(!$7"</f>
        <v>#VALUE!</v>
      </c>
      <c r="DE1" t="e">
        <f>'Programme annuel'!46:46-"?g(!$8"</f>
        <v>#VALUE!</v>
      </c>
      <c r="DF1" t="e">
        <f>'Programme annuel'!47:47-"?g(!$9"</f>
        <v>#VALUE!</v>
      </c>
      <c r="DG1" t="e">
        <f>'Programme annuel'!48:48-"?g(!$:"</f>
        <v>#VALUE!</v>
      </c>
      <c r="DH1" t="e">
        <f>'Programme annuel'!49:49-"?g(!$;"</f>
        <v>#VALUE!</v>
      </c>
      <c r="DI1" t="e">
        <f>'Programme annuel'!50:50-"?g(!$&lt;"</f>
        <v>#VALUE!</v>
      </c>
      <c r="DJ1" t="e">
        <f>'Programme annuel'!51:51-"?g(!$="</f>
        <v>#VALUE!</v>
      </c>
      <c r="DK1" t="e">
        <f>'Programme annuel'!52:52-"?g(!$&gt;"</f>
        <v>#VALUE!</v>
      </c>
      <c r="DL1" t="e">
        <f>'Programme annuel'!53:53-"?g(!$?"</f>
        <v>#VALUE!</v>
      </c>
      <c r="DM1" t="e">
        <f>'Programme annuel'!54:54-"?g(!$@"</f>
        <v>#VALUE!</v>
      </c>
      <c r="DN1" t="e">
        <f>'Programme annuel'!55:55-"?g(!$A"</f>
        <v>#VALUE!</v>
      </c>
      <c r="DO1" t="e">
        <f>'Programme annuel'!56:56-"?g(!$B"</f>
        <v>#VALUE!</v>
      </c>
      <c r="DP1" t="e">
        <f>'Programme annuel'!57:57-"?g(!$C"</f>
        <v>#VALUE!</v>
      </c>
      <c r="DQ1" t="e">
        <f>'Programme annuel'!58:58-"?g(!$D"</f>
        <v>#VALUE!</v>
      </c>
      <c r="DR1" t="e">
        <f>'Programme annuel'!59:59-"?g(!$E"</f>
        <v>#VALUE!</v>
      </c>
      <c r="DS1" t="e">
        <f>'Programme annuel'!60:60-"?g(!$F"</f>
        <v>#VALUE!</v>
      </c>
      <c r="DT1" t="e">
        <f>'Programme annuel'!61:61-"?g(!$G"</f>
        <v>#VALUE!</v>
      </c>
      <c r="DU1" t="e">
        <f>'Programme annuel'!62:62-"?g(!$H"</f>
        <v>#VALUE!</v>
      </c>
      <c r="DV1" t="e">
        <f>'Programme annuel'!63:63-"?g(!$I"</f>
        <v>#VALUE!</v>
      </c>
      <c r="DW1" t="e">
        <f>'Programme annuel'!64:64-"?g(!$J"</f>
        <v>#VALUE!</v>
      </c>
      <c r="DX1" t="e">
        <f>'Programme annuel'!65:65-"?g(!$K"</f>
        <v>#VALUE!</v>
      </c>
      <c r="DY1" t="e">
        <f>'Programme annuel'!66:66-"?g(!$L"</f>
        <v>#VALUE!</v>
      </c>
      <c r="DZ1" t="e">
        <f>'Programme annuel'!67:67-"?g(!$M"</f>
        <v>#VALUE!</v>
      </c>
      <c r="EA1" t="e">
        <f>'Programme annuel'!68:68-"?g(!$N"</f>
        <v>#VALUE!</v>
      </c>
      <c r="EB1" t="e">
        <f>'Programme annuel'!69:69-"?g(!$O"</f>
        <v>#VALUE!</v>
      </c>
      <c r="EC1" t="e">
        <f>'Programme annuel'!70:70-"?g(!$P"</f>
        <v>#VALUE!</v>
      </c>
      <c r="ED1" t="e">
        <f>'Programme annuel'!71:71-"?g(!$Q"</f>
        <v>#VALUE!</v>
      </c>
      <c r="EE1" t="e">
        <f>'Programme annuel'!72:72-"?g(!$R"</f>
        <v>#VALUE!</v>
      </c>
      <c r="EF1" t="e">
        <f>'Programme annuel'!73:73-"?g(!$S"</f>
        <v>#VALUE!</v>
      </c>
      <c r="EG1" t="e">
        <f>'Programme annuel'!74:74-"?g(!$T"</f>
        <v>#VALUE!</v>
      </c>
      <c r="EH1" t="e">
        <f>'Programme annuel'!75:75-"?g(!$U"</f>
        <v>#VALUE!</v>
      </c>
      <c r="EI1" t="e">
        <f>'Programme annuel'!76:76-"?g(!$V"</f>
        <v>#VALUE!</v>
      </c>
      <c r="EJ1" t="e">
        <f>'Programme annuel'!77:77-"?g(!$W"</f>
        <v>#VALUE!</v>
      </c>
      <c r="EK1" t="e">
        <f>'Programme annuel'!78:78-"?g(!$X"</f>
        <v>#VALUE!</v>
      </c>
      <c r="EL1" t="e">
        <f>'Programme annuel'!79:79-"?g(!$Y"</f>
        <v>#VALUE!</v>
      </c>
      <c r="EM1" t="e">
        <f>'Programme annuel'!80:80-"?g(!$Z"</f>
        <v>#VALUE!</v>
      </c>
      <c r="EN1" t="e">
        <f>'Programme annuel'!81:81-"?g(!$["</f>
        <v>#VALUE!</v>
      </c>
      <c r="EO1" t="e">
        <f>'Programme annuel'!82:82-"?g(!$\"</f>
        <v>#VALUE!</v>
      </c>
      <c r="EP1" t="e">
        <f>'Programme annuel'!83:83-"?g(!$]"</f>
        <v>#VALUE!</v>
      </c>
      <c r="EQ1" t="e">
        <f>'Programme annuel'!84:84-"?g(!$^"</f>
        <v>#VALUE!</v>
      </c>
      <c r="ER1" t="e">
        <f>'Programme annuel'!85:85-"?g(!$_"</f>
        <v>#VALUE!</v>
      </c>
      <c r="ES1" t="e">
        <f>'Programme annuel'!86:86-"?g(!$`"</f>
        <v>#VALUE!</v>
      </c>
      <c r="ET1" t="e">
        <f>'Programme annuel'!87:87-"?g(!$a"</f>
        <v>#VALUE!</v>
      </c>
      <c r="EU1" t="e">
        <f>'Programme annuel'!88:88-"?g(!$b"</f>
        <v>#VALUE!</v>
      </c>
      <c r="EV1" t="e">
        <f>'Programme annuel'!89:89-"?g(!$c"</f>
        <v>#VALUE!</v>
      </c>
      <c r="EW1" t="e">
        <f>'Programme annuel'!90:90-"?g(!$d"</f>
        <v>#VALUE!</v>
      </c>
      <c r="EX1" t="e">
        <f>'Programme annuel'!91:91-"?g(!$e"</f>
        <v>#VALUE!</v>
      </c>
      <c r="EY1" t="e">
        <f>'Programme annuel'!92:92-"?g(!$f"</f>
        <v>#VALUE!</v>
      </c>
      <c r="EZ1" t="e">
        <f>'Programme annuel'!93:93-"?g(!$g"</f>
        <v>#VALUE!</v>
      </c>
      <c r="FA1" t="e">
        <f>'Programme annuel'!94:94-"?g(!$h"</f>
        <v>#VALUE!</v>
      </c>
      <c r="FB1" t="e">
        <f>'Programme annuel'!95:95-"?g(!$i"</f>
        <v>#VALUE!</v>
      </c>
      <c r="FC1" t="e">
        <f>'Programme annuel'!96:96-"?g(!$j"</f>
        <v>#VALUE!</v>
      </c>
      <c r="FD1" t="e">
        <f>'Programme annuel'!97:97-"?g(!$k"</f>
        <v>#VALUE!</v>
      </c>
      <c r="FE1" t="e">
        <f>'Programme annuel'!98:98-"?g(!$l"</f>
        <v>#VALUE!</v>
      </c>
      <c r="FF1" t="e">
        <f>'Programme annuel'!99:99-"?g(!$m"</f>
        <v>#VALUE!</v>
      </c>
      <c r="FG1" t="e">
        <f>'Programme annuel'!100:100-"?g(!$n"</f>
        <v>#VALUE!</v>
      </c>
      <c r="FH1" t="e">
        <f>'Programme annuel'!101:101-"?g(!$o"</f>
        <v>#VALUE!</v>
      </c>
      <c r="FI1" t="e">
        <f>'Programme annuel'!102:102-"?g(!$p"</f>
        <v>#VALUE!</v>
      </c>
      <c r="FJ1" t="e">
        <f>'Programme annuel'!103:103-"?g(!$q"</f>
        <v>#VALUE!</v>
      </c>
      <c r="FK1" t="e">
        <f>'Programme annuel'!104:104-"?g(!$r"</f>
        <v>#VALUE!</v>
      </c>
      <c r="FL1" t="e">
        <f>'Programme annuel'!105:105-"?g(!$s"</f>
        <v>#VALUE!</v>
      </c>
      <c r="FM1" t="e">
        <f>'Programme annuel'!106:106-"?g(!$t"</f>
        <v>#VALUE!</v>
      </c>
      <c r="FN1" t="e">
        <f>'Programme annuel'!107:107-"?g(!$u"</f>
        <v>#VALUE!</v>
      </c>
      <c r="FO1" t="e">
        <f>'Programme annuel'!108:108-"?g(!$v"</f>
        <v>#VALUE!</v>
      </c>
      <c r="FP1" t="e">
        <f>'Programme annuel'!109:109-"?g(!$w"</f>
        <v>#VALUE!</v>
      </c>
      <c r="FQ1" t="e">
        <f>'Programme annuel'!110:110-"?g(!$x"</f>
        <v>#VALUE!</v>
      </c>
      <c r="FR1" t="e">
        <f>'Programme annuel'!111:111-"?g(!$y"</f>
        <v>#VALUE!</v>
      </c>
      <c r="FS1" t="e">
        <f>'Programme annuel'!112:112-"?g(!$z"</f>
        <v>#VALUE!</v>
      </c>
      <c r="FT1" t="e">
        <f>'Programme annuel'!113:113-"?g(!${"</f>
        <v>#VALUE!</v>
      </c>
      <c r="FU1" t="e">
        <f>'Programme annuel'!114:114-"?g(!$|"</f>
        <v>#VALUE!</v>
      </c>
      <c r="FV1" t="e">
        <f>'Programme annuel'!115:115-"?g(!$}"</f>
        <v>#VALUE!</v>
      </c>
      <c r="FW1" t="e">
        <f>'Programme annuel'!116:116-"?g(!$~"</f>
        <v>#VALUE!</v>
      </c>
      <c r="FX1" t="e">
        <f>'Programme annuel'!117:117-"?g(!%#"</f>
        <v>#VALUE!</v>
      </c>
      <c r="FY1" t="e">
        <f>'Programme annuel'!118:118-"?g(!%$"</f>
        <v>#VALUE!</v>
      </c>
      <c r="FZ1" t="e">
        <f>'Programme annuel'!119:119-"?g(!%%"</f>
        <v>#VALUE!</v>
      </c>
      <c r="GA1" t="e">
        <f>'Programme annuel'!120:120-"?g(!%&amp;"</f>
        <v>#VALUE!</v>
      </c>
      <c r="GB1" t="e">
        <f>'Programme annuel'!121:121-"?g(!%'"</f>
        <v>#VALUE!</v>
      </c>
      <c r="GC1" t="e">
        <f>'Programme annuel'!122:122-"?g(!%("</f>
        <v>#VALUE!</v>
      </c>
      <c r="GD1" t="e">
        <f>'Programme annuel'!123:123-"?g(!%)"</f>
        <v>#VALUE!</v>
      </c>
      <c r="GE1" t="e">
        <f>'Programme annuel'!124:124-"?g(!%."</f>
        <v>#VALUE!</v>
      </c>
      <c r="GF1" t="e">
        <f>'Programme annuel'!125:125-"?g(!%/"</f>
        <v>#VALUE!</v>
      </c>
      <c r="GG1" t="e">
        <f>'Programme annuel'!126:126-"?g(!%0"</f>
        <v>#VALUE!</v>
      </c>
      <c r="GH1" t="e">
        <f>'Programme annuel'!127:127-"?g(!%1"</f>
        <v>#VALUE!</v>
      </c>
      <c r="GI1" t="e">
        <f>'Programme annuel'!128:128-"?g(!%2"</f>
        <v>#VALUE!</v>
      </c>
      <c r="GJ1" t="e">
        <f>'Programme annuel'!129:129-"?g(!%3"</f>
        <v>#VALUE!</v>
      </c>
      <c r="GK1" t="e">
        <f>'Programme annuel'!130:130-"?g(!%4"</f>
        <v>#VALUE!</v>
      </c>
      <c r="GL1" t="e">
        <f>'Programme annuel'!131:131-"?g(!%5"</f>
        <v>#VALUE!</v>
      </c>
      <c r="GM1" t="e">
        <f>'Programme annuel'!132:132-"?g(!%6"</f>
        <v>#VALUE!</v>
      </c>
      <c r="GN1" t="e">
        <f>'Programme annuel'!133:133-"?g(!%7"</f>
        <v>#VALUE!</v>
      </c>
      <c r="GO1" t="e">
        <f>'Programme annuel'!134:134-"?g(!%8"</f>
        <v>#VALUE!</v>
      </c>
      <c r="GP1" t="e">
        <f>'Programme annuel'!135:135-"?g(!%9"</f>
        <v>#VALUE!</v>
      </c>
      <c r="GQ1" t="e">
        <f>'Programme annuel'!136:136-"?g(!%:"</f>
        <v>#VALUE!</v>
      </c>
      <c r="GR1" t="e">
        <f>'Programme annuel'!137:137-"?g(!%;"</f>
        <v>#VALUE!</v>
      </c>
      <c r="GS1" t="e">
        <f>'Programme annuel'!138:138-"?g(!%&lt;"</f>
        <v>#VALUE!</v>
      </c>
      <c r="GT1" t="e">
        <f>'Programme annuel'!139:139-"?g(!%="</f>
        <v>#VALUE!</v>
      </c>
      <c r="GU1" t="e">
        <f>'Programme annuel'!140:140-"?g(!%&gt;"</f>
        <v>#VALUE!</v>
      </c>
      <c r="GV1" t="e">
        <f>'Programme annuel'!141:141-"?g(!%?"</f>
        <v>#VALUE!</v>
      </c>
      <c r="GW1" t="e">
        <f>'Programme annuel'!142:142-"?g(!%@"</f>
        <v>#VALUE!</v>
      </c>
      <c r="GX1" t="e">
        <f>'Programme annuel'!143:143-"?g(!%A"</f>
        <v>#VALUE!</v>
      </c>
      <c r="GY1" t="e">
        <f>'Programme annuel'!144:144-"?g(!%B"</f>
        <v>#VALUE!</v>
      </c>
      <c r="GZ1" t="e">
        <f>'Programme annuel'!145:145-"?g(!%C"</f>
        <v>#VALUE!</v>
      </c>
      <c r="HA1" t="e">
        <f>'Programme annuel'!146:146-"?g(!%D"</f>
        <v>#VALUE!</v>
      </c>
      <c r="HB1" t="e">
        <f>'Programme annuel'!147:147-"?g(!%E"</f>
        <v>#VALUE!</v>
      </c>
      <c r="HC1" t="e">
        <f>'Programme annuel'!148:148-"?g(!%F"</f>
        <v>#VALUE!</v>
      </c>
      <c r="HD1" t="e">
        <f>'Programme annuel'!149:149-"?g(!%G"</f>
        <v>#VALUE!</v>
      </c>
      <c r="HE1" t="e">
        <f>'Programme annuel'!150:150-"?g(!%H"</f>
        <v>#VALUE!</v>
      </c>
      <c r="HF1" t="e">
        <f>'Programme annuel'!151:151-"?g(!%I"</f>
        <v>#VALUE!</v>
      </c>
      <c r="HG1" t="e">
        <f>'Programme annuel'!152:152-"?g(!%J"</f>
        <v>#VALUE!</v>
      </c>
      <c r="HH1" t="e">
        <f>'Programme annuel'!153:153-"?g(!%K"</f>
        <v>#VALUE!</v>
      </c>
      <c r="HI1" t="e">
        <f>'Programme annuel'!154:154-"?g(!%L"</f>
        <v>#VALUE!</v>
      </c>
      <c r="HJ1" t="e">
        <f>'Programme annuel'!155:155-"?g(!%M"</f>
        <v>#VALUE!</v>
      </c>
      <c r="HK1" t="e">
        <f>'Programme annuel'!156:156-"?g(!%N"</f>
        <v>#VALUE!</v>
      </c>
      <c r="HL1" t="e">
        <f>'Programme annuel'!157:157-"?g(!%O"</f>
        <v>#VALUE!</v>
      </c>
      <c r="HM1" t="e">
        <f>'Programme annuel'!158:158-"?g(!%P"</f>
        <v>#VALUE!</v>
      </c>
      <c r="HN1" t="e">
        <f>'Programme annuel'!159:159-"?g(!%Q"</f>
        <v>#VALUE!</v>
      </c>
      <c r="HO1" t="e">
        <f>'Programme annuel'!160:160-"?g(!%R"</f>
        <v>#VALUE!</v>
      </c>
      <c r="HP1" t="e">
        <f>'Programme annuel'!161:161-"?g(!%S"</f>
        <v>#VALUE!</v>
      </c>
      <c r="HQ1" t="e">
        <f>'Programme annuel'!162:162-"?g(!%T"</f>
        <v>#VALUE!</v>
      </c>
      <c r="HR1" t="e">
        <f>'Programme annuel'!163:163-"?g(!%U"</f>
        <v>#VALUE!</v>
      </c>
      <c r="HS1" t="e">
        <f>'Programme annuel'!164:164-"?g(!%V"</f>
        <v>#VALUE!</v>
      </c>
      <c r="HT1" t="e">
        <f>'Programme annuel'!165:165-"?g(!%W"</f>
        <v>#VALUE!</v>
      </c>
      <c r="HU1" t="e">
        <f>'Programme annuel'!166:166-"?g(!%X"</f>
        <v>#VALUE!</v>
      </c>
      <c r="HV1" t="e">
        <f>'Programme annuel'!167:167-"?g(!%Y"</f>
        <v>#VALUE!</v>
      </c>
      <c r="HW1" t="e">
        <f>'Programme annuel'!168:168-"?g(!%Z"</f>
        <v>#VALUE!</v>
      </c>
      <c r="HX1" t="e">
        <f>'Programme annuel'!169:169-"?g(!%["</f>
        <v>#VALUE!</v>
      </c>
      <c r="HY1" t="e">
        <f>'Programme annuel'!170:170-"?g(!%\"</f>
        <v>#VALUE!</v>
      </c>
      <c r="HZ1" t="e">
        <f>'Programme annuel'!171:171-"?g(!%]"</f>
        <v>#VALUE!</v>
      </c>
      <c r="IA1" t="e">
        <f>'Programme annuel'!172:172-"?g(!%^"</f>
        <v>#VALUE!</v>
      </c>
      <c r="IB1" t="e">
        <f>'Programme annuel'!173:173-"?g(!%_"</f>
        <v>#VALUE!</v>
      </c>
      <c r="IC1" t="e">
        <f>'Programme annuel'!174:174-"?g(!%`"</f>
        <v>#VALUE!</v>
      </c>
      <c r="ID1" t="e">
        <f>'Programme annuel'!175:175-"?g(!%a"</f>
        <v>#VALUE!</v>
      </c>
      <c r="IE1" t="e">
        <f>'Programme annuel'!176:176-"?g(!%b"</f>
        <v>#VALUE!</v>
      </c>
      <c r="IF1" t="e">
        <f>'Programme annuel'!177:177-"?g(!%c"</f>
        <v>#VALUE!</v>
      </c>
      <c r="IG1" t="e">
        <f>'Programme annuel'!178:178-"?g(!%d"</f>
        <v>#VALUE!</v>
      </c>
      <c r="IH1" t="e">
        <f>'Programme annuel'!179:179-"?g(!%e"</f>
        <v>#VALUE!</v>
      </c>
      <c r="II1" t="e">
        <f>'Programme annuel'!180:180-"?g(!%f"</f>
        <v>#VALUE!</v>
      </c>
      <c r="IJ1" t="e">
        <f>'Programme annuel'!181:181-"?g(!%g"</f>
        <v>#VALUE!</v>
      </c>
      <c r="IK1" t="e">
        <f>'Programme annuel'!182:182-"?g(!%h"</f>
        <v>#VALUE!</v>
      </c>
      <c r="IL1" t="e">
        <f>'Programme annuel'!183:183-"?g(!%i"</f>
        <v>#VALUE!</v>
      </c>
      <c r="IM1" t="e">
        <f>'Programme annuel'!184:184-"?g(!%j"</f>
        <v>#VALUE!</v>
      </c>
      <c r="IN1" t="e">
        <f>'Programme annuel'!185:185-"?g(!%k"</f>
        <v>#VALUE!</v>
      </c>
      <c r="IO1" t="e">
        <f>'Programme annuel'!186:186-"?g(!%l"</f>
        <v>#VALUE!</v>
      </c>
      <c r="IP1" t="e">
        <f>'Programme annuel'!187:187-"?g(!%m"</f>
        <v>#VALUE!</v>
      </c>
      <c r="IQ1" t="e">
        <f>'Programme annuel'!188:188-"?g(!%n"</f>
        <v>#VALUE!</v>
      </c>
      <c r="IR1" t="e">
        <f>'Programme annuel'!189:189-"?g(!%o"</f>
        <v>#VALUE!</v>
      </c>
      <c r="IS1" t="e">
        <f>'Programme annuel'!190:190-"?g(!%p"</f>
        <v>#VALUE!</v>
      </c>
      <c r="IT1" t="e">
        <f>'Programme annuel'!191:191-"?g(!%q"</f>
        <v>#VALUE!</v>
      </c>
      <c r="IU1" t="e">
        <f>'Programme annuel'!192:192-"?g(!%r"</f>
        <v>#VALUE!</v>
      </c>
      <c r="IV1" t="e">
        <f>'Programme annuel'!193:193-"?g(!%s"</f>
        <v>#VALUE!</v>
      </c>
    </row>
    <row r="2" spans="1:256" x14ac:dyDescent="0.25">
      <c r="A2" t="s">
        <v>20</v>
      </c>
      <c r="F2" t="e">
        <f>'Programme annuel'!194:194-"?g(!%t"</f>
        <v>#VALUE!</v>
      </c>
      <c r="G2" t="e">
        <f>'Programme annuel'!195:195-"?g(!%u"</f>
        <v>#VALUE!</v>
      </c>
      <c r="H2" t="e">
        <f>'Programme annuel'!196:196-"?g(!%v"</f>
        <v>#VALUE!</v>
      </c>
      <c r="I2" t="e">
        <f>'Programme annuel'!197:197-"?g(!%w"</f>
        <v>#VALUE!</v>
      </c>
      <c r="J2" t="e">
        <f>'Programme annuel'!198:198-"?g(!%x"</f>
        <v>#VALUE!</v>
      </c>
      <c r="K2" t="e">
        <f>'Programme annuel'!199:199-"?g(!%y"</f>
        <v>#VALUE!</v>
      </c>
      <c r="L2" t="e">
        <f>'Programme annuel'!200:200-"?g(!%z"</f>
        <v>#VALUE!</v>
      </c>
      <c r="M2" t="e">
        <f>'Programme annuel'!201:201-"?g(!%{"</f>
        <v>#VALUE!</v>
      </c>
      <c r="N2" t="e">
        <f>'Programme annuel'!202:202-"?g(!%|"</f>
        <v>#VALUE!</v>
      </c>
      <c r="O2" t="e">
        <f>'Programme annuel'!203:203-"?g(!%}"</f>
        <v>#VALUE!</v>
      </c>
      <c r="P2" t="e">
        <f>'Programme annuel'!204:204-"?g(!%~"</f>
        <v>#VALUE!</v>
      </c>
      <c r="Q2" t="e">
        <f>'Programme annuel'!205:205-"?g(!&amp;#"</f>
        <v>#VALUE!</v>
      </c>
      <c r="R2" t="e">
        <f>'Programme annuel'!206:206-"?g(!&amp;$"</f>
        <v>#VALUE!</v>
      </c>
      <c r="S2" t="e">
        <f>'Programme annuel'!207:207-"?g(!&amp;%"</f>
        <v>#VALUE!</v>
      </c>
      <c r="T2" t="e">
        <f>'Programme annuel'!208:208-"?g(!&amp;&amp;"</f>
        <v>#VALUE!</v>
      </c>
      <c r="U2" t="e">
        <f>'Programme annuel'!209:209-"?g(!&amp;'"</f>
        <v>#VALUE!</v>
      </c>
      <c r="V2" t="e">
        <f>'Programme annuel'!210:210-"?g(!&amp;("</f>
        <v>#VALUE!</v>
      </c>
      <c r="W2" t="e">
        <f>'Programme annuel'!211:211-"?g(!&amp;)"</f>
        <v>#VALUE!</v>
      </c>
      <c r="X2" t="e">
        <f>'Programme annuel'!212:212-"?g(!&amp;."</f>
        <v>#VALUE!</v>
      </c>
      <c r="Y2" t="e">
        <f>'Programme annuel'!213:213-"?g(!&amp;/"</f>
        <v>#VALUE!</v>
      </c>
      <c r="Z2" t="e">
        <f>'Programme annuel'!214:214-"?g(!&amp;0"</f>
        <v>#VALUE!</v>
      </c>
      <c r="AA2" t="e">
        <f>'Programme annuel'!215:215-"?g(!&amp;1"</f>
        <v>#VALUE!</v>
      </c>
      <c r="AB2" t="e">
        <f>'Programme annuel'!216:216-"?g(!&amp;2"</f>
        <v>#VALUE!</v>
      </c>
      <c r="AC2" t="e">
        <f>'Programme annuel'!217:217-"?g(!&amp;3"</f>
        <v>#VALUE!</v>
      </c>
      <c r="AD2" t="e">
        <f>'Programme annuel'!218:218-"?g(!&amp;4"</f>
        <v>#VALUE!</v>
      </c>
      <c r="AE2" t="e">
        <f>'Programme annuel'!219:219-"?g(!&amp;5"</f>
        <v>#VALUE!</v>
      </c>
      <c r="AF2" t="e">
        <f>'Programme annuel'!220:220-"?g(!&amp;6"</f>
        <v>#VALUE!</v>
      </c>
      <c r="AG2" t="e">
        <f>'Programme annuel'!221:221-"?g(!&amp;7"</f>
        <v>#VALUE!</v>
      </c>
      <c r="AH2" t="e">
        <f>'Programme annuel'!222:222-"?g(!&amp;8"</f>
        <v>#VALUE!</v>
      </c>
      <c r="AI2" t="e">
        <f>'Programme annuel'!223:223-"?g(!&amp;9"</f>
        <v>#VALUE!</v>
      </c>
      <c r="AJ2" t="e">
        <f>'Programme annuel'!224:224-"?g(!&amp;:"</f>
        <v>#VALUE!</v>
      </c>
      <c r="AK2" t="e">
        <f>'Programme annuel'!225:225-"?g(!&amp;;"</f>
        <v>#VALUE!</v>
      </c>
      <c r="AL2" t="e">
        <f>'Programme annuel'!226:226-"?g(!&amp;&lt;"</f>
        <v>#VALUE!</v>
      </c>
      <c r="AM2" t="e">
        <f>'Programme annuel'!227:227-"?g(!&amp;="</f>
        <v>#VALUE!</v>
      </c>
      <c r="AN2" t="e">
        <f>'Programme annuel'!228:228-"?g(!&amp;&gt;"</f>
        <v>#VALUE!</v>
      </c>
      <c r="AO2" t="e">
        <f>'Programme annuel'!229:229-"?g(!&amp;?"</f>
        <v>#VALUE!</v>
      </c>
      <c r="AP2" t="e">
        <f>'Programme annuel'!230:230-"?g(!&amp;@"</f>
        <v>#VALUE!</v>
      </c>
      <c r="AQ2" t="e">
        <f>'Programme annuel'!231:231-"?g(!&amp;A"</f>
        <v>#VALUE!</v>
      </c>
      <c r="AR2" t="e">
        <f>'Programme annuel'!232:232-"?g(!&amp;B"</f>
        <v>#VALUE!</v>
      </c>
      <c r="AS2" t="e">
        <f>'Programme annuel'!233:233-"?g(!&amp;C"</f>
        <v>#VALUE!</v>
      </c>
      <c r="AT2" t="e">
        <f>'Programme annuel'!234:234-"?g(!&amp;D"</f>
        <v>#VALUE!</v>
      </c>
      <c r="AU2" t="e">
        <f>'Programme annuel'!A1+"?g(!&amp;E"</f>
        <v>#VALUE!</v>
      </c>
      <c r="AV2" t="e">
        <f>'Programme annuel'!B1+"?g(!&amp;F"</f>
        <v>#VALUE!</v>
      </c>
      <c r="AW2" t="e">
        <f>'Programme annuel'!C1+"?g(!&amp;G"</f>
        <v>#VALUE!</v>
      </c>
      <c r="AX2" t="e">
        <f>'Programme annuel'!D1+"?g(!&amp;H"</f>
        <v>#VALUE!</v>
      </c>
      <c r="AY2" t="e">
        <f>'Programme annuel'!E1+"?g(!&amp;I"</f>
        <v>#VALUE!</v>
      </c>
      <c r="AZ2" t="e">
        <f>'Programme annuel'!F1+"?g(!&amp;J"</f>
        <v>#VALUE!</v>
      </c>
      <c r="BA2" t="e">
        <f>'Programme annuel'!G1+"?g(!&amp;K"</f>
        <v>#VALUE!</v>
      </c>
      <c r="BB2" t="e">
        <f>'Programme annuel'!H1+"?g(!&amp;L"</f>
        <v>#VALUE!</v>
      </c>
      <c r="BC2" t="e">
        <f>'Programme annuel'!A2+"?g(!&amp;M"</f>
        <v>#VALUE!</v>
      </c>
      <c r="BD2" t="e">
        <f>'Programme annuel'!E2+"?g(!&amp;N"</f>
        <v>#VALUE!</v>
      </c>
      <c r="BE2" t="e">
        <f>'Programme annuel'!A3+"?g(!&amp;O"</f>
        <v>#VALUE!</v>
      </c>
      <c r="BF2" t="e">
        <f>'Programme annuel'!E3+"?g(!&amp;P"</f>
        <v>#VALUE!</v>
      </c>
      <c r="BG2" t="e">
        <f>'Programme annuel'!F3+"?g(!&amp;Q"</f>
        <v>#VALUE!</v>
      </c>
      <c r="BH2" t="e">
        <f>'Programme annuel'!G3+"?g(!&amp;R"</f>
        <v>#VALUE!</v>
      </c>
      <c r="BI2" t="e">
        <f>'Programme annuel'!H3+"?g(!&amp;S"</f>
        <v>#VALUE!</v>
      </c>
      <c r="BJ2" t="e">
        <f>'Programme annuel'!A4+"?g(!&amp;T"</f>
        <v>#VALUE!</v>
      </c>
      <c r="BK2" t="e">
        <f>'Programme annuel'!E4+"?g(!&amp;U"</f>
        <v>#VALUE!</v>
      </c>
      <c r="BL2" t="e">
        <f>'Programme annuel'!F4+"?g(!&amp;V"</f>
        <v>#VALUE!</v>
      </c>
      <c r="BM2" t="e">
        <f>'Programme annuel'!G4+"?g(!&amp;W"</f>
        <v>#VALUE!</v>
      </c>
      <c r="BN2" t="e">
        <f>'Programme annuel'!H4+"?g(!&amp;X"</f>
        <v>#VALUE!</v>
      </c>
      <c r="BO2" t="e">
        <f>'Programme annuel'!A5+"?g(!&amp;Y"</f>
        <v>#VALUE!</v>
      </c>
      <c r="BP2" t="e">
        <f>'Programme annuel'!E5+"?g(!&amp;Z"</f>
        <v>#VALUE!</v>
      </c>
      <c r="BQ2" t="e">
        <f>'Programme annuel'!F5+"?g(!&amp;["</f>
        <v>#VALUE!</v>
      </c>
      <c r="BR2" t="e">
        <f>'Programme annuel'!G5+"?g(!&amp;\"</f>
        <v>#VALUE!</v>
      </c>
      <c r="BS2" t="e">
        <f>'Programme annuel'!H5+"?g(!&amp;]"</f>
        <v>#VALUE!</v>
      </c>
      <c r="BT2" t="e">
        <f>'Programme annuel'!A6+"?g(!&amp;^"</f>
        <v>#VALUE!</v>
      </c>
      <c r="BU2" t="e">
        <f>'Programme annuel'!B6+"?g(!&amp;_"</f>
        <v>#VALUE!</v>
      </c>
      <c r="BV2" t="e">
        <f>'Programme annuel'!C6+"?g(!&amp;`"</f>
        <v>#VALUE!</v>
      </c>
      <c r="BW2" t="e">
        <f>'Programme annuel'!D6+"?g(!&amp;a"</f>
        <v>#VALUE!</v>
      </c>
      <c r="BX2" s="25" t="e">
        <f>'Programme annuel'!E6+"?g(!&amp;b"</f>
        <v>#VALUE!</v>
      </c>
      <c r="BY2" t="e">
        <f>'Programme annuel'!F6+"?g(!&amp;c"</f>
        <v>#VALUE!</v>
      </c>
      <c r="BZ2" t="e">
        <f>'Programme annuel'!G6+"?g(!&amp;d"</f>
        <v>#VALUE!</v>
      </c>
      <c r="CA2" t="e">
        <f>'Programme annuel'!H6+"?g(!&amp;e"</f>
        <v>#VALUE!</v>
      </c>
      <c r="CB2" t="e">
        <f>'Programme annuel'!A7+"?g(!&amp;f"</f>
        <v>#VALUE!</v>
      </c>
      <c r="CC2" t="e">
        <f>'Programme annuel'!B7+"?g(!&amp;g"</f>
        <v>#VALUE!</v>
      </c>
      <c r="CD2" t="e">
        <f>'Programme annuel'!C7+"?g(!&amp;h"</f>
        <v>#VALUE!</v>
      </c>
      <c r="CE2" t="e">
        <f>'Programme annuel'!D7+"?g(!&amp;i"</f>
        <v>#VALUE!</v>
      </c>
      <c r="CF2" s="25" t="e">
        <f>'Programme annuel'!E7+"?g(!&amp;j"</f>
        <v>#VALUE!</v>
      </c>
      <c r="CG2" t="e">
        <f>'Programme annuel'!F7+"?g(!&amp;k"</f>
        <v>#VALUE!</v>
      </c>
      <c r="CH2" t="e">
        <f>'Programme annuel'!G7+"?g(!&amp;l"</f>
        <v>#VALUE!</v>
      </c>
      <c r="CI2" t="e">
        <f>'Programme annuel'!H7+"?g(!&amp;m"</f>
        <v>#VALUE!</v>
      </c>
      <c r="CJ2" t="e">
        <f>'Programme annuel'!A8+"?g(!&amp;n"</f>
        <v>#VALUE!</v>
      </c>
      <c r="CK2" t="e">
        <f>'Programme annuel'!B8+"?g(!&amp;o"</f>
        <v>#VALUE!</v>
      </c>
      <c r="CL2" t="e">
        <f>'Programme annuel'!C8+"?g(!&amp;p"</f>
        <v>#VALUE!</v>
      </c>
      <c r="CM2" t="e">
        <f>'Programme annuel'!D8+"?g(!&amp;q"</f>
        <v>#VALUE!</v>
      </c>
      <c r="CN2" t="e">
        <f>'Programme annuel'!E8+"?g(!&amp;r"</f>
        <v>#VALUE!</v>
      </c>
      <c r="CO2" t="e">
        <f>'Programme annuel'!F8+"?g(!&amp;s"</f>
        <v>#VALUE!</v>
      </c>
      <c r="CP2" t="e">
        <f>'Programme annuel'!G8+"?g(!&amp;t"</f>
        <v>#VALUE!</v>
      </c>
      <c r="CQ2" t="e">
        <f>'Programme annuel'!H8+"?g(!&amp;u"</f>
        <v>#VALUE!</v>
      </c>
      <c r="CR2" t="e">
        <f>'Programme annuel'!A9+"?g(!&amp;v"</f>
        <v>#VALUE!</v>
      </c>
      <c r="CS2" t="e">
        <f>'Programme annuel'!B9+"?g(!&amp;w"</f>
        <v>#VALUE!</v>
      </c>
      <c r="CT2" t="e">
        <f>'Programme annuel'!C9+"?g(!&amp;x"</f>
        <v>#VALUE!</v>
      </c>
      <c r="CU2" t="e">
        <f>'Programme annuel'!D9+"?g(!&amp;y"</f>
        <v>#VALUE!</v>
      </c>
      <c r="CV2" t="e">
        <f>'Programme annuel'!E9+"?g(!&amp;z"</f>
        <v>#VALUE!</v>
      </c>
      <c r="CW2" t="e">
        <f>'Programme annuel'!F9+"?g(!&amp;{"</f>
        <v>#VALUE!</v>
      </c>
      <c r="CX2" t="e">
        <f>'Programme annuel'!G9+"?g(!&amp;|"</f>
        <v>#VALUE!</v>
      </c>
      <c r="CY2" t="e">
        <f>'Programme annuel'!H9+"?g(!&amp;}"</f>
        <v>#VALUE!</v>
      </c>
      <c r="CZ2" t="e">
        <f>'Programme annuel'!A10+"?g(!&amp;~"</f>
        <v>#VALUE!</v>
      </c>
      <c r="DA2" t="e">
        <f>'Programme annuel'!B10+"?g(!'#"</f>
        <v>#VALUE!</v>
      </c>
      <c r="DB2" t="e">
        <f>'Programme annuel'!C10+"?g(!'$"</f>
        <v>#VALUE!</v>
      </c>
      <c r="DC2" t="e">
        <f>'Programme annuel'!D10+"?g(!'%"</f>
        <v>#VALUE!</v>
      </c>
      <c r="DD2" t="e">
        <f>'Programme annuel'!E10+"?g(!'&amp;"</f>
        <v>#VALUE!</v>
      </c>
      <c r="DE2" t="e">
        <f>'Programme annuel'!F10+"?g(!''"</f>
        <v>#VALUE!</v>
      </c>
      <c r="DF2" t="e">
        <f>'Programme annuel'!G10+"?g(!'("</f>
        <v>#VALUE!</v>
      </c>
      <c r="DG2" t="e">
        <f>'Programme annuel'!H10+"?g(!')"</f>
        <v>#VALUE!</v>
      </c>
      <c r="DH2" t="e">
        <f>'Programme annuel'!A11+"?g(!'."</f>
        <v>#VALUE!</v>
      </c>
      <c r="DI2" t="e">
        <f>'Programme annuel'!B11+"?g(!'/"</f>
        <v>#VALUE!</v>
      </c>
      <c r="DJ2" t="e">
        <f>'Programme annuel'!C11+"?g(!'0"</f>
        <v>#VALUE!</v>
      </c>
      <c r="DK2" t="e">
        <f>'Programme annuel'!D11+"?g(!'1"</f>
        <v>#VALUE!</v>
      </c>
      <c r="DL2" t="e">
        <f>'Programme annuel'!E11+"?g(!'2"</f>
        <v>#VALUE!</v>
      </c>
      <c r="DM2" t="e">
        <f>'Programme annuel'!F11+"?g(!'3"</f>
        <v>#VALUE!</v>
      </c>
      <c r="DN2" t="e">
        <f>'Programme annuel'!G11+"?g(!'4"</f>
        <v>#VALUE!</v>
      </c>
      <c r="DO2" t="e">
        <f>'Programme annuel'!H11+"?g(!'5"</f>
        <v>#VALUE!</v>
      </c>
      <c r="DP2" t="e">
        <f>'Programme annuel'!A12+"?g(!'6"</f>
        <v>#VALUE!</v>
      </c>
      <c r="DQ2" t="e">
        <f>'Programme annuel'!B12+"?g(!'7"</f>
        <v>#VALUE!</v>
      </c>
      <c r="DR2" t="e">
        <f>'Programme annuel'!C12+"?g(!'8"</f>
        <v>#VALUE!</v>
      </c>
      <c r="DS2" t="e">
        <f>'Programme annuel'!D12+"?g(!'9"</f>
        <v>#VALUE!</v>
      </c>
      <c r="DT2" t="e">
        <f>'Programme annuel'!E12+"?g(!':"</f>
        <v>#VALUE!</v>
      </c>
      <c r="DU2" t="e">
        <f>'Programme annuel'!F12+"?g(!';"</f>
        <v>#VALUE!</v>
      </c>
      <c r="DV2" t="e">
        <f>'Programme annuel'!G12+"?g(!'&lt;"</f>
        <v>#VALUE!</v>
      </c>
      <c r="DW2" t="e">
        <f>'Programme annuel'!H12+"?g(!'="</f>
        <v>#VALUE!</v>
      </c>
      <c r="DX2" t="e">
        <f>'Programme annuel'!A13+"?g(!'&gt;"</f>
        <v>#VALUE!</v>
      </c>
      <c r="DY2" t="e">
        <f>'Programme annuel'!B13+"?g(!'?"</f>
        <v>#VALUE!</v>
      </c>
      <c r="DZ2" t="e">
        <f>'Programme annuel'!C13+"?g(!'@"</f>
        <v>#VALUE!</v>
      </c>
      <c r="EA2" t="e">
        <f>'Programme annuel'!D13+"?g(!'A"</f>
        <v>#VALUE!</v>
      </c>
      <c r="EB2" t="e">
        <f>'Programme annuel'!E13+"?g(!'B"</f>
        <v>#VALUE!</v>
      </c>
      <c r="EC2" t="e">
        <f>'Programme annuel'!F13+"?g(!'C"</f>
        <v>#VALUE!</v>
      </c>
      <c r="ED2" t="e">
        <f>'Programme annuel'!G13+"?g(!'D"</f>
        <v>#VALUE!</v>
      </c>
      <c r="EE2" t="e">
        <f>'Programme annuel'!H13+"?g(!'E"</f>
        <v>#VALUE!</v>
      </c>
      <c r="EF2" t="e">
        <f>'Programme annuel'!A14+"?g(!'F"</f>
        <v>#VALUE!</v>
      </c>
      <c r="EG2" t="e">
        <f>'Programme annuel'!B14+"?g(!'G"</f>
        <v>#VALUE!</v>
      </c>
      <c r="EH2" t="e">
        <f>'Programme annuel'!C14+"?g(!'H"</f>
        <v>#VALUE!</v>
      </c>
      <c r="EI2" t="e">
        <f>'Programme annuel'!D14+"?g(!'I"</f>
        <v>#VALUE!</v>
      </c>
      <c r="EJ2" t="e">
        <f>'Programme annuel'!E14+"?g(!'J"</f>
        <v>#VALUE!</v>
      </c>
      <c r="EK2" t="e">
        <f>'Programme annuel'!F14+"?g(!'K"</f>
        <v>#VALUE!</v>
      </c>
      <c r="EL2" t="e">
        <f>'Programme annuel'!G14+"?g(!'L"</f>
        <v>#VALUE!</v>
      </c>
      <c r="EM2" t="e">
        <f>'Programme annuel'!H14+"?g(!'M"</f>
        <v>#VALUE!</v>
      </c>
      <c r="EN2" t="e">
        <f>'Programme annuel'!A15+"?g(!'N"</f>
        <v>#VALUE!</v>
      </c>
      <c r="EO2" t="e">
        <f>'Programme annuel'!B15+"?g(!'O"</f>
        <v>#VALUE!</v>
      </c>
      <c r="EP2" t="e">
        <f>'Programme annuel'!C15+"?g(!'P"</f>
        <v>#VALUE!</v>
      </c>
      <c r="EQ2" t="e">
        <f>'Programme annuel'!D15+"?g(!'Q"</f>
        <v>#VALUE!</v>
      </c>
      <c r="ER2" t="e">
        <f>'Programme annuel'!E15+"?g(!'R"</f>
        <v>#VALUE!</v>
      </c>
      <c r="ES2" t="e">
        <f>'Programme annuel'!F15+"?g(!'S"</f>
        <v>#VALUE!</v>
      </c>
      <c r="ET2" t="e">
        <f>'Programme annuel'!G15+"?g(!'T"</f>
        <v>#VALUE!</v>
      </c>
      <c r="EU2" t="e">
        <f>'Programme annuel'!H15+"?g(!'U"</f>
        <v>#VALUE!</v>
      </c>
      <c r="EV2" t="e">
        <f>'Programme annuel'!A16+"?g(!'V"</f>
        <v>#VALUE!</v>
      </c>
      <c r="EW2" t="e">
        <f>'Programme annuel'!B16+"?g(!'W"</f>
        <v>#VALUE!</v>
      </c>
      <c r="EX2" t="e">
        <f>'Programme annuel'!C16+"?g(!'X"</f>
        <v>#VALUE!</v>
      </c>
      <c r="EY2" t="e">
        <f>'Programme annuel'!D16+"?g(!'Y"</f>
        <v>#VALUE!</v>
      </c>
      <c r="EZ2" t="e">
        <f>'Programme annuel'!E16+"?g(!'Z"</f>
        <v>#VALUE!</v>
      </c>
      <c r="FA2" t="e">
        <f>'Programme annuel'!F16+"?g(!'["</f>
        <v>#VALUE!</v>
      </c>
      <c r="FB2" t="e">
        <f>'Programme annuel'!G16+"?g(!'\"</f>
        <v>#VALUE!</v>
      </c>
      <c r="FC2" t="e">
        <f>'Programme annuel'!H16+"?g(!']"</f>
        <v>#VALUE!</v>
      </c>
      <c r="FD2" t="e">
        <f>'Programme annuel'!A17+"?g(!'^"</f>
        <v>#VALUE!</v>
      </c>
      <c r="FE2" t="e">
        <f>'Programme annuel'!B17+"?g(!'_"</f>
        <v>#VALUE!</v>
      </c>
      <c r="FF2" t="e">
        <f>'Programme annuel'!C17+"?g(!'`"</f>
        <v>#VALUE!</v>
      </c>
      <c r="FG2" t="e">
        <f>'Programme annuel'!D17+"?g(!'a"</f>
        <v>#VALUE!</v>
      </c>
      <c r="FH2" t="e">
        <f>'Programme annuel'!E17+"?g(!'b"</f>
        <v>#VALUE!</v>
      </c>
      <c r="FI2" t="e">
        <f>'Programme annuel'!F17+"?g(!'c"</f>
        <v>#VALUE!</v>
      </c>
      <c r="FJ2" t="e">
        <f>'Programme annuel'!G17+"?g(!'d"</f>
        <v>#VALUE!</v>
      </c>
      <c r="FK2" t="e">
        <f>'Programme annuel'!H17+"?g(!'e"</f>
        <v>#VALUE!</v>
      </c>
      <c r="FL2" t="e">
        <f>'Programme annuel'!A18+"?g(!'f"</f>
        <v>#VALUE!</v>
      </c>
      <c r="FM2" t="e">
        <f>'Programme annuel'!B18+"?g(!'g"</f>
        <v>#VALUE!</v>
      </c>
      <c r="FN2" t="e">
        <f>'Programme annuel'!C18+"?g(!'h"</f>
        <v>#VALUE!</v>
      </c>
      <c r="FO2" t="e">
        <f>'Programme annuel'!D18+"?g(!'i"</f>
        <v>#VALUE!</v>
      </c>
      <c r="FP2" t="e">
        <f>'Programme annuel'!E18+"?g(!'j"</f>
        <v>#VALUE!</v>
      </c>
      <c r="FQ2" t="e">
        <f>'Programme annuel'!F18+"?g(!'k"</f>
        <v>#VALUE!</v>
      </c>
      <c r="FR2" t="e">
        <f>'Programme annuel'!G18+"?g(!'l"</f>
        <v>#VALUE!</v>
      </c>
      <c r="FS2" t="e">
        <f>'Programme annuel'!H18+"?g(!'m"</f>
        <v>#VALUE!</v>
      </c>
      <c r="FT2" t="e">
        <f>'Programme annuel'!A19+"?g(!'n"</f>
        <v>#VALUE!</v>
      </c>
      <c r="FU2" t="e">
        <f>'Programme annuel'!B19+"?g(!'o"</f>
        <v>#VALUE!</v>
      </c>
      <c r="FV2" t="e">
        <f>'Programme annuel'!C19+"?g(!'p"</f>
        <v>#VALUE!</v>
      </c>
      <c r="FW2" t="e">
        <f>'Programme annuel'!D19+"?g(!'q"</f>
        <v>#VALUE!</v>
      </c>
      <c r="FX2" t="e">
        <f>'Programme annuel'!E19+"?g(!'r"</f>
        <v>#VALUE!</v>
      </c>
      <c r="FY2" t="e">
        <f>'Programme annuel'!F19+"?g(!'s"</f>
        <v>#VALUE!</v>
      </c>
      <c r="FZ2" t="e">
        <f>'Programme annuel'!G19+"?g(!'t"</f>
        <v>#VALUE!</v>
      </c>
      <c r="GA2" t="e">
        <f>'Programme annuel'!H19+"?g(!'u"</f>
        <v>#VALUE!</v>
      </c>
      <c r="GB2" t="e">
        <f>'Programme annuel'!B20+"?g(!'v"</f>
        <v>#VALUE!</v>
      </c>
      <c r="GC2" t="e">
        <f>'Programme annuel'!C20+"?g(!'w"</f>
        <v>#VALUE!</v>
      </c>
      <c r="GD2" t="e">
        <f>'Programme annuel'!D20+"?g(!'x"</f>
        <v>#VALUE!</v>
      </c>
      <c r="GE2" t="e">
        <f>'Programme annuel'!E20+"?g(!'y"</f>
        <v>#VALUE!</v>
      </c>
      <c r="GF2" t="e">
        <f>'Programme annuel'!F20+"?g(!'z"</f>
        <v>#VALUE!</v>
      </c>
      <c r="GG2" t="e">
        <f>'Programme annuel'!G20+"?g(!'{"</f>
        <v>#VALUE!</v>
      </c>
      <c r="GH2" t="e">
        <f>'Programme annuel'!H20+"?g(!'|"</f>
        <v>#VALUE!</v>
      </c>
      <c r="GI2" t="e">
        <f>'Programme annuel'!B21+"?g(!'}"</f>
        <v>#VALUE!</v>
      </c>
      <c r="GJ2" t="e">
        <f>'Programme annuel'!C21+"?g(!'~"</f>
        <v>#VALUE!</v>
      </c>
      <c r="GK2" t="e">
        <f>'Programme annuel'!D21+"?g(!(#"</f>
        <v>#VALUE!</v>
      </c>
      <c r="GL2" t="e">
        <f>'Programme annuel'!E21+"?g(!($"</f>
        <v>#VALUE!</v>
      </c>
      <c r="GM2" t="e">
        <f>'Programme annuel'!F21+"?g(!(%"</f>
        <v>#VALUE!</v>
      </c>
      <c r="GN2" t="e">
        <f>'Programme annuel'!G21+"?g(!(&amp;"</f>
        <v>#VALUE!</v>
      </c>
      <c r="GO2" t="e">
        <f>'Programme annuel'!H21+"?g(!('"</f>
        <v>#VALUE!</v>
      </c>
      <c r="GP2" t="e">
        <f>'Programme annuel'!B22+"?g(!(("</f>
        <v>#VALUE!</v>
      </c>
      <c r="GQ2" t="e">
        <f>'Programme annuel'!C22+"?g(!()"</f>
        <v>#VALUE!</v>
      </c>
      <c r="GR2" t="e">
        <f>'Programme annuel'!D22+"?g(!(."</f>
        <v>#VALUE!</v>
      </c>
      <c r="GS2" t="e">
        <f>'Programme annuel'!E22+"?g(!(/"</f>
        <v>#VALUE!</v>
      </c>
      <c r="GT2" t="e">
        <f>'Programme annuel'!F22+"?g(!(0"</f>
        <v>#VALUE!</v>
      </c>
      <c r="GU2" t="e">
        <f>'Programme annuel'!G22+"?g(!(1"</f>
        <v>#VALUE!</v>
      </c>
      <c r="GV2" t="e">
        <f>'Programme annuel'!H22+"?g(!(2"</f>
        <v>#VALUE!</v>
      </c>
      <c r="GW2" t="e">
        <f>'Programme annuel'!B23+"?g(!(3"</f>
        <v>#VALUE!</v>
      </c>
      <c r="GX2" t="e">
        <f>'Programme annuel'!C23+"?g(!(4"</f>
        <v>#VALUE!</v>
      </c>
      <c r="GY2" t="e">
        <f>'Programme annuel'!D23+"?g(!(5"</f>
        <v>#VALUE!</v>
      </c>
      <c r="GZ2" t="e">
        <f>'Programme annuel'!E23+"?g(!(6"</f>
        <v>#VALUE!</v>
      </c>
      <c r="HA2" t="e">
        <f>'Programme annuel'!F23+"?g(!(7"</f>
        <v>#VALUE!</v>
      </c>
      <c r="HB2" t="e">
        <f>'Programme annuel'!G23+"?g(!(8"</f>
        <v>#VALUE!</v>
      </c>
      <c r="HC2" t="e">
        <f>'Programme annuel'!H23+"?g(!(9"</f>
        <v>#VALUE!</v>
      </c>
      <c r="HD2" t="e">
        <f>'Programme annuel'!B24+"?g(!(:"</f>
        <v>#VALUE!</v>
      </c>
      <c r="HE2" t="e">
        <f>'Programme annuel'!C24+"?g(!(;"</f>
        <v>#VALUE!</v>
      </c>
      <c r="HF2" t="e">
        <f>'Programme annuel'!D24+"?g(!(&lt;"</f>
        <v>#VALUE!</v>
      </c>
      <c r="HG2" t="e">
        <f>'Programme annuel'!E24+"?g(!(="</f>
        <v>#VALUE!</v>
      </c>
      <c r="HH2" t="e">
        <f>'Programme annuel'!F24+"?g(!(&gt;"</f>
        <v>#VALUE!</v>
      </c>
      <c r="HI2" t="e">
        <f>'Programme annuel'!G24+"?g(!(?"</f>
        <v>#VALUE!</v>
      </c>
      <c r="HJ2" t="e">
        <f>'Programme annuel'!H24+"?g(!(@"</f>
        <v>#VALUE!</v>
      </c>
      <c r="HK2" t="e">
        <f>'Programme annuel'!B25+"?g(!(A"</f>
        <v>#VALUE!</v>
      </c>
      <c r="HL2" t="e">
        <f>'Programme annuel'!C25+"?g(!(B"</f>
        <v>#VALUE!</v>
      </c>
      <c r="HM2" t="e">
        <f>'Programme annuel'!D25+"?g(!(C"</f>
        <v>#VALUE!</v>
      </c>
      <c r="HN2" t="e">
        <f>'Programme annuel'!E25+"?g(!(D"</f>
        <v>#VALUE!</v>
      </c>
      <c r="HO2" t="e">
        <f>'Programme annuel'!F25+"?g(!(E"</f>
        <v>#VALUE!</v>
      </c>
      <c r="HP2" t="e">
        <f>'Programme annuel'!G25+"?g(!(F"</f>
        <v>#VALUE!</v>
      </c>
      <c r="HQ2" t="e">
        <f>'Programme annuel'!H25+"?g(!(G"</f>
        <v>#VALUE!</v>
      </c>
      <c r="HR2" t="e">
        <f>'Programme annuel'!B26+"?g(!(H"</f>
        <v>#VALUE!</v>
      </c>
      <c r="HS2" t="e">
        <f>'Programme annuel'!C26+"?g(!(I"</f>
        <v>#VALUE!</v>
      </c>
      <c r="HT2" t="e">
        <f>'Programme annuel'!D26+"?g(!(J"</f>
        <v>#VALUE!</v>
      </c>
      <c r="HU2" t="e">
        <f>'Programme annuel'!E26+"?g(!(K"</f>
        <v>#VALUE!</v>
      </c>
      <c r="HV2" t="e">
        <f>'Programme annuel'!F26+"?g(!(L"</f>
        <v>#VALUE!</v>
      </c>
      <c r="HW2" t="e">
        <f>'Programme annuel'!G26+"?g(!(M"</f>
        <v>#VALUE!</v>
      </c>
      <c r="HX2" t="e">
        <f>'Programme annuel'!H26+"?g(!(N"</f>
        <v>#VALUE!</v>
      </c>
      <c r="HY2" t="e">
        <f>'Programme annuel'!B27+"?g(!(O"</f>
        <v>#VALUE!</v>
      </c>
      <c r="HZ2" t="e">
        <f>'Programme annuel'!C27+"?g(!(P"</f>
        <v>#VALUE!</v>
      </c>
      <c r="IA2" t="e">
        <f>'Programme annuel'!D27+"?g(!(Q"</f>
        <v>#VALUE!</v>
      </c>
      <c r="IB2" t="e">
        <f>'Programme annuel'!E27+"?g(!(R"</f>
        <v>#VALUE!</v>
      </c>
      <c r="IC2" t="e">
        <f>'Programme annuel'!F27+"?g(!(S"</f>
        <v>#VALUE!</v>
      </c>
      <c r="ID2" t="e">
        <f>'Programme annuel'!G27+"?g(!(T"</f>
        <v>#VALUE!</v>
      </c>
      <c r="IE2" t="e">
        <f>'Programme annuel'!H27+"?g(!(U"</f>
        <v>#VALUE!</v>
      </c>
      <c r="IF2" t="e">
        <f>'Programme annuel'!B28+"?g(!(V"</f>
        <v>#VALUE!</v>
      </c>
      <c r="IG2" t="e">
        <f>'Programme annuel'!C28+"?g(!(W"</f>
        <v>#VALUE!</v>
      </c>
      <c r="IH2" t="e">
        <f>'Programme annuel'!D28+"?g(!(X"</f>
        <v>#VALUE!</v>
      </c>
      <c r="II2" t="e">
        <f>'Programme annuel'!E28+"?g(!(Y"</f>
        <v>#VALUE!</v>
      </c>
      <c r="IJ2" t="e">
        <f>'Programme annuel'!F28+"?g(!(Z"</f>
        <v>#VALUE!</v>
      </c>
      <c r="IK2" t="e">
        <f>'Programme annuel'!G28+"?g(!(["</f>
        <v>#VALUE!</v>
      </c>
      <c r="IL2" t="e">
        <f>'Programme annuel'!H28+"?g(!(\"</f>
        <v>#VALUE!</v>
      </c>
      <c r="IM2" t="e">
        <f>'Programme annuel'!B29+"?g(!(]"</f>
        <v>#VALUE!</v>
      </c>
      <c r="IN2" t="e">
        <f>'Programme annuel'!C29+"?g(!(^"</f>
        <v>#VALUE!</v>
      </c>
      <c r="IO2" t="e">
        <f>'Programme annuel'!D29+"?g(!(_"</f>
        <v>#VALUE!</v>
      </c>
      <c r="IP2" t="e">
        <f>'Programme annuel'!E29+"?g(!(`"</f>
        <v>#VALUE!</v>
      </c>
      <c r="IQ2" t="e">
        <f>'Programme annuel'!F29+"?g(!(a"</f>
        <v>#VALUE!</v>
      </c>
      <c r="IR2" t="e">
        <f>'Programme annuel'!G29+"?g(!(b"</f>
        <v>#VALUE!</v>
      </c>
      <c r="IS2" t="e">
        <f>'Programme annuel'!H29+"?g(!(c"</f>
        <v>#VALUE!</v>
      </c>
      <c r="IT2" t="e">
        <f>'Programme annuel'!B30+"?g(!(d"</f>
        <v>#VALUE!</v>
      </c>
      <c r="IU2" t="e">
        <f>'Programme annuel'!C30+"?g(!(e"</f>
        <v>#VALUE!</v>
      </c>
      <c r="IV2" t="e">
        <f>'Programme annuel'!D30+"?g(!(f"</f>
        <v>#VALUE!</v>
      </c>
    </row>
    <row r="3" spans="1:256" x14ac:dyDescent="0.25">
      <c r="A3" t="s">
        <v>21</v>
      </c>
      <c r="F3" t="e">
        <f>'Programme annuel'!E30+"?g(!(g"</f>
        <v>#VALUE!</v>
      </c>
      <c r="G3" t="e">
        <f>'Programme annuel'!F30+"?g(!(h"</f>
        <v>#VALUE!</v>
      </c>
      <c r="H3" t="e">
        <f>'Programme annuel'!G30+"?g(!(i"</f>
        <v>#VALUE!</v>
      </c>
      <c r="I3" t="e">
        <f>'Programme annuel'!H30+"?g(!(j"</f>
        <v>#VALUE!</v>
      </c>
      <c r="J3" t="e">
        <f>'Programme annuel'!B31+"?g(!(k"</f>
        <v>#VALUE!</v>
      </c>
      <c r="K3" t="e">
        <f>'Programme annuel'!C31+"?g(!(l"</f>
        <v>#VALUE!</v>
      </c>
      <c r="L3" t="e">
        <f>'Programme annuel'!D31+"?g(!(m"</f>
        <v>#VALUE!</v>
      </c>
      <c r="M3" t="e">
        <f>'Programme annuel'!E31+"?g(!(n"</f>
        <v>#VALUE!</v>
      </c>
      <c r="N3" t="e">
        <f>'Programme annuel'!F31+"?g(!(o"</f>
        <v>#VALUE!</v>
      </c>
      <c r="O3" t="e">
        <f>'Programme annuel'!G31+"?g(!(p"</f>
        <v>#VALUE!</v>
      </c>
      <c r="P3" t="e">
        <f>'Programme annuel'!H31+"?g(!(q"</f>
        <v>#VALUE!</v>
      </c>
      <c r="Q3" t="e">
        <f>'Programme annuel'!B32+"?g(!(r"</f>
        <v>#VALUE!</v>
      </c>
      <c r="R3" t="e">
        <f>'Programme annuel'!C32+"?g(!(s"</f>
        <v>#VALUE!</v>
      </c>
      <c r="S3" t="e">
        <f>'Programme annuel'!D32+"?g(!(t"</f>
        <v>#VALUE!</v>
      </c>
      <c r="T3" t="e">
        <f>'Programme annuel'!E32+"?g(!(u"</f>
        <v>#VALUE!</v>
      </c>
      <c r="U3" t="e">
        <f>'Programme annuel'!F32+"?g(!(v"</f>
        <v>#VALUE!</v>
      </c>
      <c r="V3" t="e">
        <f>'Programme annuel'!G32+"?g(!(w"</f>
        <v>#VALUE!</v>
      </c>
      <c r="W3" t="e">
        <f>'Programme annuel'!H32+"?g(!(x"</f>
        <v>#VALUE!</v>
      </c>
      <c r="X3" t="e">
        <f>'Programme annuel'!B33+"?g(!(y"</f>
        <v>#VALUE!</v>
      </c>
      <c r="Y3" t="e">
        <f>'Programme annuel'!C33+"?g(!(z"</f>
        <v>#VALUE!</v>
      </c>
      <c r="Z3" t="e">
        <f>'Programme annuel'!D33+"?g(!({"</f>
        <v>#VALUE!</v>
      </c>
      <c r="AA3" t="e">
        <f>'Programme annuel'!E33+"?g(!(|"</f>
        <v>#VALUE!</v>
      </c>
      <c r="AB3" t="e">
        <f>'Programme annuel'!F33+"?g(!(}"</f>
        <v>#VALUE!</v>
      </c>
      <c r="AC3" t="e">
        <f>'Programme annuel'!G33+"?g(!(~"</f>
        <v>#VALUE!</v>
      </c>
      <c r="AD3" t="e">
        <f>'Programme annuel'!H33+"?g(!)#"</f>
        <v>#VALUE!</v>
      </c>
      <c r="AE3" t="e">
        <f>'Programme annuel'!B34+"?g(!)$"</f>
        <v>#VALUE!</v>
      </c>
      <c r="AF3" t="e">
        <f>'Programme annuel'!C34+"?g(!)%"</f>
        <v>#VALUE!</v>
      </c>
      <c r="AG3" t="e">
        <f>'Programme annuel'!D34+"?g(!)&amp;"</f>
        <v>#VALUE!</v>
      </c>
      <c r="AH3" t="e">
        <f>'Programme annuel'!E34+"?g(!)'"</f>
        <v>#VALUE!</v>
      </c>
      <c r="AI3" t="e">
        <f>'Programme annuel'!F34+"?g(!)("</f>
        <v>#VALUE!</v>
      </c>
      <c r="AJ3" t="e">
        <f>'Programme annuel'!G34+"?g(!))"</f>
        <v>#VALUE!</v>
      </c>
      <c r="AK3" t="e">
        <f>'Programme annuel'!H34+"?g(!)."</f>
        <v>#VALUE!</v>
      </c>
      <c r="AL3" t="e">
        <f>'prévisions hebdomadaires'!A:A*"?g(!)/"</f>
        <v>#VALUE!</v>
      </c>
      <c r="AM3" t="e">
        <f>'prévisions hebdomadaires'!B:B*"?g(!)0"</f>
        <v>#VALUE!</v>
      </c>
      <c r="AN3" t="e">
        <f>'prévisions hebdomadaires'!C:C*"?g(!)1"</f>
        <v>#VALUE!</v>
      </c>
      <c r="AO3" t="e">
        <f>'prévisions hebdomadaires'!D:D*"?g(!)2"</f>
        <v>#VALUE!</v>
      </c>
      <c r="AP3" t="e">
        <f>'prévisions hebdomadaires'!E:E*"?g(!)3"</f>
        <v>#VALUE!</v>
      </c>
      <c r="AQ3" t="e">
        <f>'prévisions hebdomadaires'!F:F*"?g(!)4"</f>
        <v>#VALUE!</v>
      </c>
      <c r="AR3" t="e">
        <f>'prévisions hebdomadaires'!G:G*"?g(!)5"</f>
        <v>#VALUE!</v>
      </c>
      <c r="AS3" t="e">
        <f>'prévisions hebdomadaires'!H:H*"?g(!)6"</f>
        <v>#VALUE!</v>
      </c>
      <c r="AT3" t="e">
        <f>'prévisions hebdomadaires'!I:I*"?g(!)7"</f>
        <v>#VALUE!</v>
      </c>
      <c r="AU3" t="e">
        <f>'prévisions hebdomadaires'!J:J*"?g(!)8"</f>
        <v>#VALUE!</v>
      </c>
      <c r="AV3" t="e">
        <f>'prévisions hebdomadaires'!K:K*"?g(!)9"</f>
        <v>#VALUE!</v>
      </c>
      <c r="AW3" t="e">
        <f>'prévisions hebdomadaires'!L:L*"?g(!):"</f>
        <v>#VALUE!</v>
      </c>
      <c r="AX3" t="e">
        <f>'prévisions hebdomadaires'!M:M*"?g(!);"</f>
        <v>#VALUE!</v>
      </c>
      <c r="AY3" t="e">
        <f>'prévisions hebdomadaires'!N:N*"?g(!)&lt;"</f>
        <v>#VALUE!</v>
      </c>
      <c r="AZ3" t="e">
        <f>'prévisions hebdomadaires'!O:O*"?g(!)="</f>
        <v>#VALUE!</v>
      </c>
      <c r="BA3" t="e">
        <f>'prévisions hebdomadaires'!P:P*"?g(!)&gt;"</f>
        <v>#VALUE!</v>
      </c>
      <c r="BB3" t="e">
        <f>'prévisions hebdomadaires'!Q:Q*"?g(!)?"</f>
        <v>#VALUE!</v>
      </c>
      <c r="BC3" t="e">
        <f>'prévisions hebdomadaires'!R:R*"?g(!)@"</f>
        <v>#VALUE!</v>
      </c>
      <c r="BD3" t="e">
        <f>'prévisions hebdomadaires'!S:S*"?g(!)A"</f>
        <v>#VALUE!</v>
      </c>
      <c r="BE3" t="e">
        <f>'prévisions hebdomadaires'!T:T*"?g(!)B"</f>
        <v>#VALUE!</v>
      </c>
      <c r="BF3" t="e">
        <f>'prévisions hebdomadaires'!U:U*"?g(!)C"</f>
        <v>#VALUE!</v>
      </c>
      <c r="BG3" t="e">
        <f>'prévisions hebdomadaires'!V:V*"?g(!)D"</f>
        <v>#VALUE!</v>
      </c>
      <c r="BH3" t="e">
        <f>'prévisions hebdomadaires'!W:W*"?g(!)E"</f>
        <v>#VALUE!</v>
      </c>
      <c r="BI3" t="e">
        <f>'prévisions hebdomadaires'!X:X*"?g(!)F"</f>
        <v>#VALUE!</v>
      </c>
      <c r="BJ3" t="e">
        <f>'prévisions hebdomadaires'!Y:Y*"?g(!)G"</f>
        <v>#VALUE!</v>
      </c>
      <c r="BK3" t="e">
        <f>'prévisions hebdomadaires'!Z:Z*"?g(!)H"</f>
        <v>#VALUE!</v>
      </c>
      <c r="BL3" t="e">
        <f>'prévisions hebdomadaires'!AA:AA*"?g(!)I"</f>
        <v>#VALUE!</v>
      </c>
      <c r="BM3" t="e">
        <f>'prévisions hebdomadaires'!AB:AB*"?g(!)J"</f>
        <v>#VALUE!</v>
      </c>
      <c r="BN3" t="e">
        <f>'prévisions hebdomadaires'!AC:AC*"?g(!)K"</f>
        <v>#VALUE!</v>
      </c>
      <c r="BO3" t="e">
        <f>'prévisions hebdomadaires'!AD:AD*"?g(!)L"</f>
        <v>#VALUE!</v>
      </c>
      <c r="BP3" t="e">
        <f>'prévisions hebdomadaires'!AE:AE*"?g(!)M"</f>
        <v>#VALUE!</v>
      </c>
      <c r="BQ3" t="e">
        <f>'prévisions hebdomadaires'!AF:AF*"?g(!)N"</f>
        <v>#VALUE!</v>
      </c>
      <c r="BR3" t="e">
        <f>'prévisions hebdomadaires'!AG:AG*"?g(!)O"</f>
        <v>#VALUE!</v>
      </c>
      <c r="BS3" t="e">
        <f>'prévisions hebdomadaires'!AH:AH*"?g(!)P"</f>
        <v>#VALUE!</v>
      </c>
      <c r="BT3" t="e">
        <f>'prévisions hebdomadaires'!AI:AI*"?g(!)Q"</f>
        <v>#VALUE!</v>
      </c>
      <c r="BU3" t="e">
        <f>'prévisions hebdomadaires'!AJ:AJ*"?g(!)R"</f>
        <v>#VALUE!</v>
      </c>
      <c r="BV3" t="e">
        <f>'prévisions hebdomadaires'!AK:AK*"?g(!)S"</f>
        <v>#VALUE!</v>
      </c>
      <c r="BW3" t="e">
        <f>'prévisions hebdomadaires'!AL:AL*"?g(!)T"</f>
        <v>#VALUE!</v>
      </c>
      <c r="BX3" t="e">
        <f>'prévisions hebdomadaires'!AM:AM*"?g(!)U"</f>
        <v>#VALUE!</v>
      </c>
      <c r="BY3" t="e">
        <f>'prévisions hebdomadaires'!AN:AN*"?g(!)V"</f>
        <v>#VALUE!</v>
      </c>
      <c r="BZ3" t="e">
        <f>'prévisions hebdomadaires'!AO:AO*"?g(!)W"</f>
        <v>#VALUE!</v>
      </c>
      <c r="CA3" t="e">
        <f>'prévisions hebdomadaires'!AP:AP*"?g(!)X"</f>
        <v>#VALUE!</v>
      </c>
      <c r="CB3" t="e">
        <f>'prévisions hebdomadaires'!AQ:AQ*"?g(!)Y"</f>
        <v>#VALUE!</v>
      </c>
      <c r="CC3" t="e">
        <f>'prévisions hebdomadaires'!AR:AR*"?g(!)Z"</f>
        <v>#VALUE!</v>
      </c>
      <c r="CD3" t="e">
        <f>'prévisions hebdomadaires'!AS:AS*"?g(!)["</f>
        <v>#VALUE!</v>
      </c>
      <c r="CE3" t="e">
        <f>'prévisions hebdomadaires'!AT:AT*"?g(!)\"</f>
        <v>#VALUE!</v>
      </c>
      <c r="CF3" t="e">
        <f>'prévisions hebdomadaires'!AU:AU*"?g(!)]"</f>
        <v>#VALUE!</v>
      </c>
      <c r="CG3" t="e">
        <f>'prévisions hebdomadaires'!AV:AV*"?g(!)^"</f>
        <v>#VALUE!</v>
      </c>
      <c r="CH3" t="e">
        <f>'prévisions hebdomadaires'!AW:AW*"?g(!)_"</f>
        <v>#VALUE!</v>
      </c>
      <c r="CI3" t="e">
        <f>'prévisions hebdomadaires'!AX:AX*"?g(!)`"</f>
        <v>#VALUE!</v>
      </c>
      <c r="CJ3" t="e">
        <f>'prévisions hebdomadaires'!AY:AY*"?g(!)a"</f>
        <v>#VALUE!</v>
      </c>
      <c r="CK3" t="e">
        <f>'prévisions hebdomadaires'!AZ:AZ*"?g(!)b"</f>
        <v>#VALUE!</v>
      </c>
      <c r="CL3" t="e">
        <f>'prévisions hebdomadaires'!BA:BA*"?g(!)c"</f>
        <v>#VALUE!</v>
      </c>
      <c r="CM3" t="e">
        <f>'prévisions hebdomadaires'!BB:BB*"?g(!)d"</f>
        <v>#VALUE!</v>
      </c>
      <c r="CN3" t="e">
        <f>'prévisions hebdomadaires'!BC:BC*"?g(!)e"</f>
        <v>#VALUE!</v>
      </c>
      <c r="CO3" t="e">
        <f>'prévisions hebdomadaires'!BD:BD*"?g(!)f"</f>
        <v>#VALUE!</v>
      </c>
      <c r="CP3" t="e">
        <f>'prévisions hebdomadaires'!BE:BE*"?g(!)g"</f>
        <v>#VALUE!</v>
      </c>
      <c r="CQ3" t="e">
        <f>'prévisions hebdomadaires'!BF:BF*"?g(!)h"</f>
        <v>#VALUE!</v>
      </c>
      <c r="CR3" t="e">
        <f>'prévisions hebdomadaires'!BG:BG*"?g(!)i"</f>
        <v>#VALUE!</v>
      </c>
      <c r="CS3" t="e">
        <f>'prévisions hebdomadaires'!1:1-"?g(!)j"</f>
        <v>#VALUE!</v>
      </c>
      <c r="CT3" t="e">
        <f>'prévisions hebdomadaires'!2:2-"?g(!)k"</f>
        <v>#VALUE!</v>
      </c>
      <c r="CU3" t="e">
        <f>'prévisions hebdomadaires'!3:3-"?g(!)l"</f>
        <v>#VALUE!</v>
      </c>
      <c r="CV3" t="e">
        <f>'prévisions hebdomadaires'!4:4-"?g(!)m"</f>
        <v>#VALUE!</v>
      </c>
      <c r="CW3" t="e">
        <f>'prévisions hebdomadaires'!5:5-"?g(!)n"</f>
        <v>#VALUE!</v>
      </c>
      <c r="CX3" t="e">
        <f>'prévisions hebdomadaires'!6:6-"?g(!)o"</f>
        <v>#VALUE!</v>
      </c>
      <c r="CY3" t="e">
        <f>'prévisions hebdomadaires'!7:7-"?g(!)p"</f>
        <v>#VALUE!</v>
      </c>
      <c r="CZ3" t="e">
        <f>'prévisions hebdomadaires'!8:8-"?g(!)q"</f>
        <v>#VALUE!</v>
      </c>
      <c r="DA3" t="e">
        <f>'prévisions hebdomadaires'!9:9-"?g(!)r"</f>
        <v>#VALUE!</v>
      </c>
      <c r="DB3" t="e">
        <f>'prévisions hebdomadaires'!10:10-"?g(!)s"</f>
        <v>#VALUE!</v>
      </c>
      <c r="DC3" t="e">
        <f>'prévisions hebdomadaires'!11:11-"?g(!)t"</f>
        <v>#VALUE!</v>
      </c>
      <c r="DD3" t="e">
        <f>'prévisions hebdomadaires'!12:12-"?g(!)u"</f>
        <v>#VALUE!</v>
      </c>
      <c r="DE3" t="e">
        <f>'prévisions hebdomadaires'!13:13-"?g(!)v"</f>
        <v>#VALUE!</v>
      </c>
      <c r="DF3" t="e">
        <f>'prévisions hebdomadaires'!14:14-"?g(!)w"</f>
        <v>#VALUE!</v>
      </c>
      <c r="DG3" t="e">
        <f>'prévisions hebdomadaires'!15:15-"?g(!)x"</f>
        <v>#VALUE!</v>
      </c>
      <c r="DH3" t="e">
        <f>'prévisions hebdomadaires'!16:16-"?g(!)y"</f>
        <v>#VALUE!</v>
      </c>
      <c r="DI3" t="e">
        <f>'prévisions hebdomadaires'!17:17-"?g(!)z"</f>
        <v>#VALUE!</v>
      </c>
      <c r="DJ3" t="e">
        <f>'prévisions hebdomadaires'!18:18-"?g(!){"</f>
        <v>#VALUE!</v>
      </c>
      <c r="DK3" t="e">
        <f>'prévisions hebdomadaires'!19:19-"?g(!)|"</f>
        <v>#VALUE!</v>
      </c>
      <c r="DL3" t="e">
        <f>'prévisions hebdomadaires'!20:20-"?g(!)}"</f>
        <v>#VALUE!</v>
      </c>
      <c r="DM3" t="e">
        <f>'prévisions hebdomadaires'!21:21-"?g(!)~"</f>
        <v>#VALUE!</v>
      </c>
      <c r="DN3" t="e">
        <f>'prévisions hebdomadaires'!22:22-"?g(!.#"</f>
        <v>#VALUE!</v>
      </c>
      <c r="DO3" t="e">
        <f>'prévisions hebdomadaires'!23:23-"?g(!.$"</f>
        <v>#VALUE!</v>
      </c>
      <c r="DP3" t="e">
        <f>'prévisions hebdomadaires'!24:24-"?g(!.%"</f>
        <v>#VALUE!</v>
      </c>
      <c r="DQ3" t="e">
        <f>'prévisions hebdomadaires'!25:25-"?g(!.&amp;"</f>
        <v>#VALUE!</v>
      </c>
      <c r="DR3" t="e">
        <f>'prévisions hebdomadaires'!26:26-"?g(!.'"</f>
        <v>#VALUE!</v>
      </c>
      <c r="DS3" t="e">
        <f>'prévisions hebdomadaires'!27:27-"?g(!.("</f>
        <v>#VALUE!</v>
      </c>
      <c r="DT3" t="e">
        <f>'prévisions hebdomadaires'!28:28-"?g(!.)"</f>
        <v>#VALUE!</v>
      </c>
      <c r="DU3" t="e">
        <f>'prévisions hebdomadaires'!29:29-"?g(!.."</f>
        <v>#VALUE!</v>
      </c>
      <c r="DV3" t="e">
        <f>'prévisions hebdomadaires'!30:30-"?g(!./"</f>
        <v>#VALUE!</v>
      </c>
      <c r="DW3" t="e">
        <f>'prévisions hebdomadaires'!31:31-"?g(!.0"</f>
        <v>#VALUE!</v>
      </c>
      <c r="DX3" t="e">
        <f>'prévisions hebdomadaires'!32:32-"?g(!.1"</f>
        <v>#VALUE!</v>
      </c>
      <c r="DY3" t="e">
        <f>'prévisions hebdomadaires'!33:33-"?g(!.2"</f>
        <v>#VALUE!</v>
      </c>
      <c r="DZ3" t="e">
        <f>'prévisions hebdomadaires'!34:34-"?g(!.3"</f>
        <v>#VALUE!</v>
      </c>
      <c r="EA3" t="e">
        <f>'prévisions hebdomadaires'!35:35-"?g(!.4"</f>
        <v>#VALUE!</v>
      </c>
      <c r="EB3" t="e">
        <f>'prévisions hebdomadaires'!36:36-"?g(!.5"</f>
        <v>#VALUE!</v>
      </c>
      <c r="EC3" t="e">
        <f>'prévisions hebdomadaires'!37:37-"?g(!.6"</f>
        <v>#VALUE!</v>
      </c>
      <c r="ED3" t="e">
        <f>'prévisions hebdomadaires'!38:38-"?g(!.7"</f>
        <v>#VALUE!</v>
      </c>
      <c r="EE3" t="e">
        <f>'prévisions hebdomadaires'!39:39-"?g(!.8"</f>
        <v>#VALUE!</v>
      </c>
      <c r="EF3" t="e">
        <f>'prévisions hebdomadaires'!40:40-"?g(!.9"</f>
        <v>#VALUE!</v>
      </c>
      <c r="EG3" t="e">
        <f>'prévisions hebdomadaires'!41:41-"?g(!.:"</f>
        <v>#VALUE!</v>
      </c>
      <c r="EH3" t="e">
        <f>'prévisions hebdomadaires'!42:42-"?g(!.;"</f>
        <v>#VALUE!</v>
      </c>
      <c r="EI3" t="e">
        <f>'prévisions hebdomadaires'!43:43-"?g(!.&lt;"</f>
        <v>#VALUE!</v>
      </c>
      <c r="EJ3" t="e">
        <f>'prévisions hebdomadaires'!44:44-"?g(!.="</f>
        <v>#VALUE!</v>
      </c>
      <c r="EK3" t="e">
        <f>'prévisions hebdomadaires'!45:45-"?g(!.&gt;"</f>
        <v>#VALUE!</v>
      </c>
      <c r="EL3" t="e">
        <f>'prévisions hebdomadaires'!46:46-"?g(!.?"</f>
        <v>#VALUE!</v>
      </c>
      <c r="EM3" t="e">
        <f>'prévisions hebdomadaires'!47:47-"?g(!.@"</f>
        <v>#VALUE!</v>
      </c>
      <c r="EN3" t="e">
        <f>'prévisions hebdomadaires'!48:48-"?g(!.A"</f>
        <v>#VALUE!</v>
      </c>
      <c r="EO3" t="e">
        <f>'prévisions hebdomadaires'!49:49-"?g(!.B"</f>
        <v>#VALUE!</v>
      </c>
      <c r="EP3" t="e">
        <f>'prévisions hebdomadaires'!50:50-"?g(!.C"</f>
        <v>#VALUE!</v>
      </c>
      <c r="EQ3" t="e">
        <f>'prévisions hebdomadaires'!51:51-"?g(!.D"</f>
        <v>#VALUE!</v>
      </c>
      <c r="ER3" t="e">
        <f>'prévisions hebdomadaires'!52:52-"?g(!.E"</f>
        <v>#VALUE!</v>
      </c>
      <c r="ES3" t="e">
        <f>'prévisions hebdomadaires'!53:53-"?g(!.F"</f>
        <v>#VALUE!</v>
      </c>
      <c r="ET3" t="e">
        <f>'prévisions hebdomadaires'!54:54-"?g(!.G"</f>
        <v>#VALUE!</v>
      </c>
      <c r="EU3" t="e">
        <f>'prévisions hebdomadaires'!55:55-"?g(!.H"</f>
        <v>#VALUE!</v>
      </c>
      <c r="EV3" t="e">
        <f>'prévisions hebdomadaires'!56:56-"?g(!.I"</f>
        <v>#VALUE!</v>
      </c>
      <c r="EW3" t="e">
        <f>'prévisions hebdomadaires'!57:57-"?g(!.J"</f>
        <v>#VALUE!</v>
      </c>
      <c r="EX3" t="e">
        <f>'prévisions hebdomadaires'!58:58-"?g(!.K"</f>
        <v>#VALUE!</v>
      </c>
      <c r="EY3" t="e">
        <f>'prévisions hebdomadaires'!59:59-"?g(!.L"</f>
        <v>#VALUE!</v>
      </c>
      <c r="EZ3" t="e">
        <f>'prévisions hebdomadaires'!60:60-"?g(!.M"</f>
        <v>#VALUE!</v>
      </c>
      <c r="FA3" t="e">
        <f>'prévisions hebdomadaires'!61:61-"?g(!.N"</f>
        <v>#VALUE!</v>
      </c>
      <c r="FB3" t="e">
        <f>'prévisions hebdomadaires'!62:62-"?g(!.O"</f>
        <v>#VALUE!</v>
      </c>
      <c r="FC3" t="e">
        <f>'prévisions hebdomadaires'!63:63-"?g(!.P"</f>
        <v>#VALUE!</v>
      </c>
      <c r="FD3" t="e">
        <f>'prévisions hebdomadaires'!64:64-"?g(!.Q"</f>
        <v>#VALUE!</v>
      </c>
      <c r="FE3" t="e">
        <f>'prévisions hebdomadaires'!65:65-"?g(!.R"</f>
        <v>#VALUE!</v>
      </c>
      <c r="FF3" t="e">
        <f>'prévisions hebdomadaires'!66:66-"?g(!.S"</f>
        <v>#VALUE!</v>
      </c>
      <c r="FG3" t="e">
        <f>'prévisions hebdomadaires'!67:67-"?g(!.T"</f>
        <v>#VALUE!</v>
      </c>
      <c r="FH3" t="e">
        <f>'prévisions hebdomadaires'!68:68-"?g(!.U"</f>
        <v>#VALUE!</v>
      </c>
      <c r="FI3" t="e">
        <f>'prévisions hebdomadaires'!69:69-"?g(!.V"</f>
        <v>#VALUE!</v>
      </c>
      <c r="FJ3" t="e">
        <f>'prévisions hebdomadaires'!70:70-"?g(!.W"</f>
        <v>#VALUE!</v>
      </c>
      <c r="FK3" t="e">
        <f>'prévisions hebdomadaires'!71:71-"?g(!.X"</f>
        <v>#VALUE!</v>
      </c>
      <c r="FL3" t="e">
        <f>'prévisions hebdomadaires'!72:72-"?g(!.Y"</f>
        <v>#VALUE!</v>
      </c>
      <c r="FM3" t="e">
        <f>'prévisions hebdomadaires'!73:73-"?g(!.Z"</f>
        <v>#VALUE!</v>
      </c>
      <c r="FN3" t="e">
        <f>'prévisions hebdomadaires'!74:74-"?g(!.["</f>
        <v>#VALUE!</v>
      </c>
      <c r="FO3" t="e">
        <f>'prévisions hebdomadaires'!75:75-"?g(!.\"</f>
        <v>#VALUE!</v>
      </c>
      <c r="FP3" t="e">
        <f>'prévisions hebdomadaires'!76:76-"?g(!.]"</f>
        <v>#VALUE!</v>
      </c>
      <c r="FQ3" t="e">
        <f>'prévisions hebdomadaires'!77:77-"?g(!.^"</f>
        <v>#VALUE!</v>
      </c>
      <c r="FR3" t="e">
        <f>'prévisions hebdomadaires'!78:78-"?g(!._"</f>
        <v>#VALUE!</v>
      </c>
      <c r="FS3" t="e">
        <f>'prévisions hebdomadaires'!79:79-"?g(!.`"</f>
        <v>#VALUE!</v>
      </c>
      <c r="FT3" t="e">
        <f>'prévisions hebdomadaires'!80:80-"?g(!.a"</f>
        <v>#VALUE!</v>
      </c>
      <c r="FU3" t="e">
        <f>'prévisions hebdomadaires'!81:81-"?g(!.b"</f>
        <v>#VALUE!</v>
      </c>
      <c r="FV3" t="e">
        <f>'prévisions hebdomadaires'!82:82-"?g(!.c"</f>
        <v>#VALUE!</v>
      </c>
      <c r="FW3" t="e">
        <f>'prévisions hebdomadaires'!83:83-"?g(!.d"</f>
        <v>#VALUE!</v>
      </c>
      <c r="FX3" t="e">
        <f>'prévisions hebdomadaires'!84:84-"?g(!.e"</f>
        <v>#VALUE!</v>
      </c>
      <c r="FY3" t="e">
        <f>'prévisions hebdomadaires'!85:85-"?g(!.f"</f>
        <v>#VALUE!</v>
      </c>
      <c r="FZ3" t="e">
        <f>'prévisions hebdomadaires'!86:86-"?g(!.g"</f>
        <v>#VALUE!</v>
      </c>
      <c r="GA3" t="e">
        <f>'prévisions hebdomadaires'!87:87-"?g(!.h"</f>
        <v>#VALUE!</v>
      </c>
      <c r="GB3" t="e">
        <f>'prévisions hebdomadaires'!88:88-"?g(!.i"</f>
        <v>#VALUE!</v>
      </c>
      <c r="GC3" t="e">
        <f>'prévisions hebdomadaires'!89:89-"?g(!.j"</f>
        <v>#VALUE!</v>
      </c>
      <c r="GD3" t="e">
        <f>'prévisions hebdomadaires'!90:90-"?g(!.k"</f>
        <v>#VALUE!</v>
      </c>
      <c r="GE3" t="e">
        <f>'prévisions hebdomadaires'!91:91-"?g(!.l"</f>
        <v>#VALUE!</v>
      </c>
      <c r="GF3" t="e">
        <f>'prévisions hebdomadaires'!92:92-"?g(!.m"</f>
        <v>#VALUE!</v>
      </c>
      <c r="GG3" t="e">
        <f>'prévisions hebdomadaires'!93:93-"?g(!.n"</f>
        <v>#VALUE!</v>
      </c>
      <c r="GH3" t="e">
        <f>'prévisions hebdomadaires'!94:94-"?g(!.o"</f>
        <v>#VALUE!</v>
      </c>
      <c r="GI3" t="e">
        <f>'prévisions hebdomadaires'!95:95-"?g(!.p"</f>
        <v>#VALUE!</v>
      </c>
      <c r="GJ3" t="e">
        <f>'prévisions hebdomadaires'!96:96-"?g(!.q"</f>
        <v>#VALUE!</v>
      </c>
      <c r="GK3" t="e">
        <f>'prévisions hebdomadaires'!97:97-"?g(!.r"</f>
        <v>#VALUE!</v>
      </c>
      <c r="GL3" t="e">
        <f>'prévisions hebdomadaires'!98:98-"?g(!.s"</f>
        <v>#VALUE!</v>
      </c>
      <c r="GM3" t="e">
        <f>'prévisions hebdomadaires'!99:99-"?g(!.t"</f>
        <v>#VALUE!</v>
      </c>
      <c r="GN3" t="e">
        <f>'prévisions hebdomadaires'!100:100-"?g(!.u"</f>
        <v>#VALUE!</v>
      </c>
      <c r="GO3" t="e">
        <f>'prévisions hebdomadaires'!101:101-"?g(!.v"</f>
        <v>#VALUE!</v>
      </c>
      <c r="GP3" t="e">
        <f>'prévisions hebdomadaires'!102:102-"?g(!.w"</f>
        <v>#VALUE!</v>
      </c>
      <c r="GQ3" t="e">
        <f>'prévisions hebdomadaires'!103:103-"?g(!.x"</f>
        <v>#VALUE!</v>
      </c>
      <c r="GR3" t="e">
        <f>'prévisions hebdomadaires'!104:104-"?g(!.y"</f>
        <v>#VALUE!</v>
      </c>
      <c r="GS3" t="e">
        <f>'prévisions hebdomadaires'!105:105-"?g(!.z"</f>
        <v>#VALUE!</v>
      </c>
      <c r="GT3" t="e">
        <f>'prévisions hebdomadaires'!106:106-"?g(!.{"</f>
        <v>#VALUE!</v>
      </c>
      <c r="GU3" t="e">
        <f>'prévisions hebdomadaires'!107:107-"?g(!.|"</f>
        <v>#VALUE!</v>
      </c>
      <c r="GV3" t="e">
        <f>'prévisions hebdomadaires'!108:108-"?g(!.}"</f>
        <v>#VALUE!</v>
      </c>
      <c r="GW3" t="e">
        <f>'prévisions hebdomadaires'!109:109-"?g(!.~"</f>
        <v>#VALUE!</v>
      </c>
      <c r="GX3" t="e">
        <f>'prévisions hebdomadaires'!110:110-"?g(!/#"</f>
        <v>#VALUE!</v>
      </c>
      <c r="GY3" t="e">
        <f>'prévisions hebdomadaires'!111:111-"?g(!/$"</f>
        <v>#VALUE!</v>
      </c>
      <c r="GZ3" t="e">
        <f>'prévisions hebdomadaires'!112:112-"?g(!/%"</f>
        <v>#VALUE!</v>
      </c>
      <c r="HA3" t="e">
        <f>'prévisions hebdomadaires'!113:113-"?g(!/&amp;"</f>
        <v>#VALUE!</v>
      </c>
      <c r="HB3" t="e">
        <f>'prévisions hebdomadaires'!114:114-"?g(!/'"</f>
        <v>#VALUE!</v>
      </c>
      <c r="HC3" t="e">
        <f>'prévisions hebdomadaires'!115:115-"?g(!/("</f>
        <v>#VALUE!</v>
      </c>
      <c r="HD3" t="e">
        <f>'prévisions hebdomadaires'!116:116-"?g(!/)"</f>
        <v>#VALUE!</v>
      </c>
      <c r="HE3" t="e">
        <f>'prévisions hebdomadaires'!117:117-"?g(!/."</f>
        <v>#VALUE!</v>
      </c>
      <c r="HF3" t="e">
        <f>'prévisions hebdomadaires'!118:118-"?g(!//"</f>
        <v>#VALUE!</v>
      </c>
      <c r="HG3" t="e">
        <f>'prévisions hebdomadaires'!119:119-"?g(!/0"</f>
        <v>#VALUE!</v>
      </c>
      <c r="HH3" t="e">
        <f>'prévisions hebdomadaires'!120:120-"?g(!/1"</f>
        <v>#VALUE!</v>
      </c>
      <c r="HI3" t="e">
        <f>'prévisions hebdomadaires'!121:121-"?g(!/2"</f>
        <v>#VALUE!</v>
      </c>
      <c r="HJ3" t="e">
        <f>'prévisions hebdomadaires'!122:122-"?g(!/3"</f>
        <v>#VALUE!</v>
      </c>
      <c r="HK3" t="e">
        <f>'prévisions hebdomadaires'!123:123-"?g(!/4"</f>
        <v>#VALUE!</v>
      </c>
      <c r="HL3" t="e">
        <f>'prévisions hebdomadaires'!124:124-"?g(!/5"</f>
        <v>#VALUE!</v>
      </c>
      <c r="HM3" t="e">
        <f>'prévisions hebdomadaires'!125:125-"?g(!/6"</f>
        <v>#VALUE!</v>
      </c>
      <c r="HN3" t="e">
        <f>'prévisions hebdomadaires'!126:126-"?g(!/7"</f>
        <v>#VALUE!</v>
      </c>
      <c r="HO3" t="e">
        <f>'prévisions hebdomadaires'!127:127-"?g(!/8"</f>
        <v>#VALUE!</v>
      </c>
      <c r="HP3" t="e">
        <f>'prévisions hebdomadaires'!128:128-"?g(!/9"</f>
        <v>#VALUE!</v>
      </c>
      <c r="HQ3" t="e">
        <f>'prévisions hebdomadaires'!129:129-"?g(!/:"</f>
        <v>#VALUE!</v>
      </c>
      <c r="HR3" t="e">
        <f>'prévisions hebdomadaires'!130:130-"?g(!/;"</f>
        <v>#VALUE!</v>
      </c>
      <c r="HS3" t="e">
        <f>'prévisions hebdomadaires'!131:131-"?g(!/&lt;"</f>
        <v>#VALUE!</v>
      </c>
      <c r="HT3" t="e">
        <f>'prévisions hebdomadaires'!132:132-"?g(!/="</f>
        <v>#VALUE!</v>
      </c>
      <c r="HU3" t="e">
        <f>'prévisions hebdomadaires'!133:133-"?g(!/&gt;"</f>
        <v>#VALUE!</v>
      </c>
      <c r="HV3" t="e">
        <f>'prévisions hebdomadaires'!134:134-"?g(!/?"</f>
        <v>#VALUE!</v>
      </c>
      <c r="HW3" t="e">
        <f>'prévisions hebdomadaires'!135:135-"?g(!/@"</f>
        <v>#VALUE!</v>
      </c>
      <c r="HX3" t="e">
        <f>'prévisions hebdomadaires'!136:136-"?g(!/A"</f>
        <v>#VALUE!</v>
      </c>
      <c r="HY3" t="e">
        <f>'prévisions hebdomadaires'!137:137-"?g(!/B"</f>
        <v>#VALUE!</v>
      </c>
      <c r="HZ3" t="e">
        <f>'prévisions hebdomadaires'!138:138-"?g(!/C"</f>
        <v>#VALUE!</v>
      </c>
      <c r="IA3" t="e">
        <f>'prévisions hebdomadaires'!139:139-"?g(!/D"</f>
        <v>#VALUE!</v>
      </c>
      <c r="IB3" t="e">
        <f>'prévisions hebdomadaires'!140:140-"?g(!/E"</f>
        <v>#VALUE!</v>
      </c>
      <c r="IC3" t="e">
        <f>'prévisions hebdomadaires'!141:141-"?g(!/F"</f>
        <v>#VALUE!</v>
      </c>
      <c r="ID3" t="e">
        <f>'prévisions hebdomadaires'!142:142-"?g(!/G"</f>
        <v>#VALUE!</v>
      </c>
      <c r="IE3" t="e">
        <f>'prévisions hebdomadaires'!143:143-"?g(!/H"</f>
        <v>#VALUE!</v>
      </c>
      <c r="IF3" t="e">
        <f>'prévisions hebdomadaires'!144:144-"?g(!/I"</f>
        <v>#VALUE!</v>
      </c>
      <c r="IG3" t="e">
        <f>'prévisions hebdomadaires'!145:145-"?g(!/J"</f>
        <v>#VALUE!</v>
      </c>
      <c r="IH3" t="e">
        <f>'prévisions hebdomadaires'!146:146-"?g(!/K"</f>
        <v>#VALUE!</v>
      </c>
      <c r="II3" t="e">
        <f>'prévisions hebdomadaires'!147:147-"?g(!/L"</f>
        <v>#VALUE!</v>
      </c>
      <c r="IJ3" t="e">
        <f>'prévisions hebdomadaires'!148:148-"?g(!/M"</f>
        <v>#VALUE!</v>
      </c>
      <c r="IK3" t="e">
        <f>'prévisions hebdomadaires'!149:149-"?g(!/N"</f>
        <v>#VALUE!</v>
      </c>
      <c r="IL3" t="e">
        <f>'prévisions hebdomadaires'!150:150-"?g(!/O"</f>
        <v>#VALUE!</v>
      </c>
      <c r="IM3" t="e">
        <f>'prévisions hebdomadaires'!151:151-"?g(!/P"</f>
        <v>#VALUE!</v>
      </c>
      <c r="IN3" t="e">
        <f>'prévisions hebdomadaires'!152:152-"?g(!/Q"</f>
        <v>#VALUE!</v>
      </c>
      <c r="IO3" t="e">
        <f>'prévisions hebdomadaires'!153:153-"?g(!/R"</f>
        <v>#VALUE!</v>
      </c>
      <c r="IP3" t="e">
        <f>'prévisions hebdomadaires'!154:154-"?g(!/S"</f>
        <v>#VALUE!</v>
      </c>
      <c r="IQ3" t="e">
        <f>'prévisions hebdomadaires'!155:155-"?g(!/T"</f>
        <v>#VALUE!</v>
      </c>
      <c r="IR3" t="e">
        <f>'prévisions hebdomadaires'!156:156-"?g(!/U"</f>
        <v>#VALUE!</v>
      </c>
      <c r="IS3" t="e">
        <f>'prévisions hebdomadaires'!157:157-"?g(!/V"</f>
        <v>#VALUE!</v>
      </c>
      <c r="IT3" t="e">
        <f>'prévisions hebdomadaires'!158:158-"?g(!/W"</f>
        <v>#VALUE!</v>
      </c>
      <c r="IU3" t="e">
        <f>'prévisions hebdomadaires'!159:159-"?g(!/X"</f>
        <v>#VALUE!</v>
      </c>
      <c r="IV3" t="e">
        <f>'prévisions hebdomadaires'!160:160-"?g(!/Y"</f>
        <v>#VALUE!</v>
      </c>
    </row>
    <row r="4" spans="1:256" x14ac:dyDescent="0.25">
      <c r="A4" t="s">
        <v>23</v>
      </c>
      <c r="F4" t="e">
        <f>'prévisions hebdomadaires'!161:161-"?g(!/Z"</f>
        <v>#VALUE!</v>
      </c>
      <c r="G4" t="e">
        <f>'prévisions hebdomadaires'!162:162-"?g(!/["</f>
        <v>#VALUE!</v>
      </c>
      <c r="H4" t="e">
        <f>'prévisions hebdomadaires'!163:163-"?g(!/\"</f>
        <v>#VALUE!</v>
      </c>
      <c r="I4" t="e">
        <f>'prévisions hebdomadaires'!164:164-"?g(!/]"</f>
        <v>#VALUE!</v>
      </c>
      <c r="J4" t="e">
        <f>'prévisions hebdomadaires'!165:165-"?g(!/^"</f>
        <v>#VALUE!</v>
      </c>
      <c r="K4" t="e">
        <f>'prévisions hebdomadaires'!166:166-"?g(!/_"</f>
        <v>#VALUE!</v>
      </c>
      <c r="L4" t="e">
        <f>'prévisions hebdomadaires'!167:167-"?g(!/`"</f>
        <v>#VALUE!</v>
      </c>
      <c r="M4" t="e">
        <f>'prévisions hebdomadaires'!168:168-"?g(!/a"</f>
        <v>#VALUE!</v>
      </c>
      <c r="N4" t="e">
        <f>'prévisions hebdomadaires'!169:169-"?g(!/b"</f>
        <v>#VALUE!</v>
      </c>
      <c r="O4" t="e">
        <f>'prévisions hebdomadaires'!170:170-"?g(!/c"</f>
        <v>#VALUE!</v>
      </c>
      <c r="P4" t="e">
        <f>'prévisions hebdomadaires'!171:171-"?g(!/d"</f>
        <v>#VALUE!</v>
      </c>
      <c r="Q4" t="e">
        <f>'prévisions hebdomadaires'!172:172-"?g(!/e"</f>
        <v>#VALUE!</v>
      </c>
      <c r="R4" t="e">
        <f>'prévisions hebdomadaires'!173:173-"?g(!/f"</f>
        <v>#VALUE!</v>
      </c>
      <c r="S4" t="e">
        <f>'prévisions hebdomadaires'!174:174-"?g(!/g"</f>
        <v>#VALUE!</v>
      </c>
      <c r="T4" t="e">
        <f>'prévisions hebdomadaires'!175:175-"?g(!/h"</f>
        <v>#VALUE!</v>
      </c>
      <c r="U4" t="e">
        <f>'prévisions hebdomadaires'!176:176-"?g(!/i"</f>
        <v>#VALUE!</v>
      </c>
      <c r="V4" t="e">
        <f>'prévisions hebdomadaires'!177:177-"?g(!/j"</f>
        <v>#VALUE!</v>
      </c>
      <c r="W4" t="e">
        <f>'prévisions hebdomadaires'!178:178-"?g(!/k"</f>
        <v>#VALUE!</v>
      </c>
      <c r="X4" t="e">
        <f>'prévisions hebdomadaires'!179:179-"?g(!/l"</f>
        <v>#VALUE!</v>
      </c>
      <c r="Y4" t="e">
        <f>'prévisions hebdomadaires'!180:180-"?g(!/m"</f>
        <v>#VALUE!</v>
      </c>
      <c r="Z4" t="e">
        <f>'prévisions hebdomadaires'!181:181-"?g(!/n"</f>
        <v>#VALUE!</v>
      </c>
      <c r="AA4" t="e">
        <f>'prévisions hebdomadaires'!182:182-"?g(!/o"</f>
        <v>#VALUE!</v>
      </c>
      <c r="AB4" t="e">
        <f>'prévisions hebdomadaires'!183:183-"?g(!/p"</f>
        <v>#VALUE!</v>
      </c>
      <c r="AC4" t="e">
        <f>'prévisions hebdomadaires'!184:184-"?g(!/q"</f>
        <v>#VALUE!</v>
      </c>
      <c r="AD4" t="e">
        <f>'prévisions hebdomadaires'!185:185-"?g(!/r"</f>
        <v>#VALUE!</v>
      </c>
      <c r="AE4" t="e">
        <f>'prévisions hebdomadaires'!186:186-"?g(!/s"</f>
        <v>#VALUE!</v>
      </c>
      <c r="AF4" t="e">
        <f>'prévisions hebdomadaires'!187:187-"?g(!/t"</f>
        <v>#VALUE!</v>
      </c>
      <c r="AG4" t="e">
        <f>'prévisions hebdomadaires'!188:188-"?g(!/u"</f>
        <v>#VALUE!</v>
      </c>
      <c r="AH4" t="e">
        <f>'prévisions hebdomadaires'!189:189-"?g(!/v"</f>
        <v>#VALUE!</v>
      </c>
      <c r="AI4" t="e">
        <f>'prévisions hebdomadaires'!190:190-"?g(!/w"</f>
        <v>#VALUE!</v>
      </c>
      <c r="AJ4" t="e">
        <f>'prévisions hebdomadaires'!191:191-"?g(!/x"</f>
        <v>#VALUE!</v>
      </c>
      <c r="AK4" t="e">
        <f>'prévisions hebdomadaires'!192:192-"?g(!/y"</f>
        <v>#VALUE!</v>
      </c>
      <c r="AL4" t="e">
        <f>'prévisions hebdomadaires'!193:193-"?g(!/z"</f>
        <v>#VALUE!</v>
      </c>
      <c r="AM4" t="e">
        <f>'prévisions hebdomadaires'!194:194-"?g(!/{"</f>
        <v>#VALUE!</v>
      </c>
      <c r="AN4" t="e">
        <f>'prévisions hebdomadaires'!195:195-"?g(!/|"</f>
        <v>#VALUE!</v>
      </c>
      <c r="AO4" t="e">
        <f>'prévisions hebdomadaires'!196:196-"?g(!/}"</f>
        <v>#VALUE!</v>
      </c>
      <c r="AP4" t="e">
        <f>'prévisions hebdomadaires'!197:197-"?g(!/~"</f>
        <v>#VALUE!</v>
      </c>
      <c r="AQ4" t="e">
        <f>'prévisions hebdomadaires'!198:198-"?g(!0#"</f>
        <v>#VALUE!</v>
      </c>
      <c r="AR4" t="e">
        <f>'prévisions hebdomadaires'!199:199-"?g(!0$"</f>
        <v>#VALUE!</v>
      </c>
      <c r="AS4" t="e">
        <f>'prévisions hebdomadaires'!200:200-"?g(!0%"</f>
        <v>#VALUE!</v>
      </c>
      <c r="AT4" t="e">
        <f>'prévisions hebdomadaires'!201:201-"?g(!0&amp;"</f>
        <v>#VALUE!</v>
      </c>
      <c r="AU4" t="e">
        <f>'prévisions hebdomadaires'!202:202-"?g(!0'"</f>
        <v>#VALUE!</v>
      </c>
      <c r="AV4" t="e">
        <f>'prévisions hebdomadaires'!203:203-"?g(!0("</f>
        <v>#VALUE!</v>
      </c>
      <c r="AW4" t="e">
        <f>'prévisions hebdomadaires'!204:204-"?g(!0)"</f>
        <v>#VALUE!</v>
      </c>
      <c r="AX4" t="e">
        <f>'prévisions hebdomadaires'!205:205-"?g(!0."</f>
        <v>#VALUE!</v>
      </c>
      <c r="AY4" t="e">
        <f>'prévisions hebdomadaires'!206:206-"?g(!0/"</f>
        <v>#VALUE!</v>
      </c>
      <c r="AZ4" t="e">
        <f>'prévisions hebdomadaires'!207:207-"?g(!00"</f>
        <v>#VALUE!</v>
      </c>
      <c r="BA4" t="e">
        <f>'prévisions hebdomadaires'!208:208-"?g(!01"</f>
        <v>#VALUE!</v>
      </c>
      <c r="BB4" t="e">
        <f>'prévisions hebdomadaires'!209:209-"?g(!02"</f>
        <v>#VALUE!</v>
      </c>
      <c r="BC4" t="e">
        <f>'prévisions hebdomadaires'!210:210-"?g(!03"</f>
        <v>#VALUE!</v>
      </c>
      <c r="BD4" t="e">
        <f>'prévisions hebdomadaires'!211:211-"?g(!04"</f>
        <v>#VALUE!</v>
      </c>
      <c r="BE4" t="e">
        <f>'prévisions hebdomadaires'!212:212-"?g(!05"</f>
        <v>#VALUE!</v>
      </c>
      <c r="BF4" t="e">
        <f>'prévisions hebdomadaires'!213:213-"?g(!06"</f>
        <v>#VALUE!</v>
      </c>
      <c r="BG4" t="e">
        <f>'prévisions hebdomadaires'!214:214-"?g(!07"</f>
        <v>#VALUE!</v>
      </c>
      <c r="BH4" t="e">
        <f>'prévisions hebdomadaires'!215:215-"?g(!08"</f>
        <v>#VALUE!</v>
      </c>
      <c r="BI4" t="e">
        <f>'prévisions hebdomadaires'!216:216-"?g(!09"</f>
        <v>#VALUE!</v>
      </c>
      <c r="BJ4" t="e">
        <f>'prévisions hebdomadaires'!217:217-"?g(!0:"</f>
        <v>#VALUE!</v>
      </c>
      <c r="BK4" t="e">
        <f>'prévisions hebdomadaires'!218:218-"?g(!0;"</f>
        <v>#VALUE!</v>
      </c>
      <c r="BL4" t="e">
        <f>'prévisions hebdomadaires'!219:219-"?g(!0&lt;"</f>
        <v>#VALUE!</v>
      </c>
      <c r="BM4" t="e">
        <f>'prévisions hebdomadaires'!220:220-"?g(!0="</f>
        <v>#VALUE!</v>
      </c>
      <c r="BN4" t="e">
        <f>'prévisions hebdomadaires'!221:221-"?g(!0&gt;"</f>
        <v>#VALUE!</v>
      </c>
      <c r="BO4" t="e">
        <f>'prévisions hebdomadaires'!222:222-"?g(!0?"</f>
        <v>#VALUE!</v>
      </c>
      <c r="BP4" t="e">
        <f>'prévisions hebdomadaires'!223:223-"?g(!0@"</f>
        <v>#VALUE!</v>
      </c>
      <c r="BQ4" t="e">
        <f>'prévisions hebdomadaires'!224:224-"?g(!0A"</f>
        <v>#VALUE!</v>
      </c>
      <c r="BR4" t="e">
        <f>'prévisions hebdomadaires'!225:225-"?g(!0B"</f>
        <v>#VALUE!</v>
      </c>
      <c r="BS4" t="e">
        <f>'prévisions hebdomadaires'!226:226-"?g(!0C"</f>
        <v>#VALUE!</v>
      </c>
      <c r="BT4" t="e">
        <f>'prévisions hebdomadaires'!227:227-"?g(!0D"</f>
        <v>#VALUE!</v>
      </c>
      <c r="BU4" t="e">
        <f>'prévisions hebdomadaires'!228:228-"?g(!0E"</f>
        <v>#VALUE!</v>
      </c>
      <c r="BV4" t="e">
        <f>'prévisions hebdomadaires'!229:229-"?g(!0F"</f>
        <v>#VALUE!</v>
      </c>
      <c r="BW4" t="e">
        <f>'prévisions hebdomadaires'!230:230-"?g(!0G"</f>
        <v>#VALUE!</v>
      </c>
      <c r="BX4" t="e">
        <f>'prévisions hebdomadaires'!231:231-"?g(!0H"</f>
        <v>#VALUE!</v>
      </c>
      <c r="BY4" t="e">
        <f>'prévisions hebdomadaires'!232:232-"?g(!0I"</f>
        <v>#VALUE!</v>
      </c>
      <c r="BZ4" t="e">
        <f>'prévisions hebdomadaires'!233:233-"?g(!0J"</f>
        <v>#VALUE!</v>
      </c>
      <c r="CA4" t="e">
        <f>'prévisions hebdomadaires'!234:234-"?g(!0K"</f>
        <v>#VALUE!</v>
      </c>
      <c r="CB4" t="e">
        <f>'prévisions hebdomadaires'!235:235-"?g(!0L"</f>
        <v>#VALUE!</v>
      </c>
      <c r="CC4" t="e">
        <f>'prévisions hebdomadaires'!236:236-"?g(!0M"</f>
        <v>#VALUE!</v>
      </c>
      <c r="CD4" t="e">
        <f>'prévisions hebdomadaires'!237:237-"?g(!0N"</f>
        <v>#VALUE!</v>
      </c>
      <c r="CE4" t="e">
        <f>'prévisions hebdomadaires'!238:238-"?g(!0O"</f>
        <v>#VALUE!</v>
      </c>
      <c r="CF4" t="e">
        <f>'prévisions hebdomadaires'!239:239-"?g(!0P"</f>
        <v>#VALUE!</v>
      </c>
      <c r="CG4" t="e">
        <f>'prévisions hebdomadaires'!240:240-"?g(!0Q"</f>
        <v>#VALUE!</v>
      </c>
      <c r="CH4" t="e">
        <f>'prévisions hebdomadaires'!241:241-"?g(!0R"</f>
        <v>#VALUE!</v>
      </c>
      <c r="CI4" t="e">
        <f>'prévisions hebdomadaires'!242:242-"?g(!0S"</f>
        <v>#VALUE!</v>
      </c>
      <c r="CJ4" t="e">
        <f>'prévisions hebdomadaires'!243:243-"?g(!0T"</f>
        <v>#VALUE!</v>
      </c>
      <c r="CK4" t="e">
        <f>'prévisions hebdomadaires'!244:244-"?g(!0U"</f>
        <v>#VALUE!</v>
      </c>
      <c r="CL4" t="e">
        <f>'prévisions hebdomadaires'!245:245-"?g(!0V"</f>
        <v>#VALUE!</v>
      </c>
      <c r="CM4" t="e">
        <f>'prévisions hebdomadaires'!246:246-"?g(!0W"</f>
        <v>#VALUE!</v>
      </c>
      <c r="CN4" t="e">
        <f>'prévisions hebdomadaires'!247:247-"?g(!0X"</f>
        <v>#VALUE!</v>
      </c>
      <c r="CO4" t="e">
        <f>'prévisions hebdomadaires'!248:248-"?g(!0Y"</f>
        <v>#VALUE!</v>
      </c>
      <c r="CP4" t="e">
        <f>'prévisions hebdomadaires'!249:249-"?g(!0Z"</f>
        <v>#VALUE!</v>
      </c>
      <c r="CQ4" t="e">
        <f>'prévisions hebdomadaires'!250:250-"?g(!0["</f>
        <v>#VALUE!</v>
      </c>
      <c r="CR4" t="e">
        <f>'prévisions hebdomadaires'!251:251-"?g(!0\"</f>
        <v>#VALUE!</v>
      </c>
      <c r="CS4" t="e">
        <f>'prévisions hebdomadaires'!252:252-"?g(!0]"</f>
        <v>#VALUE!</v>
      </c>
      <c r="CT4" t="e">
        <f>'prévisions hebdomadaires'!253:253-"?g(!0^"</f>
        <v>#VALUE!</v>
      </c>
      <c r="CU4" t="e">
        <f>'prévisions hebdomadaires'!254:254-"?g(!0_"</f>
        <v>#VALUE!</v>
      </c>
      <c r="CV4" t="e">
        <f>'prévisions hebdomadaires'!255:255-"?g(!0`"</f>
        <v>#VALUE!</v>
      </c>
      <c r="CW4" t="e">
        <f>'prévisions hebdomadaires'!256:256-"?g(!0a"</f>
        <v>#VALUE!</v>
      </c>
      <c r="CX4" t="e">
        <f>'prévisions hebdomadaires'!257:257-"?g(!0b"</f>
        <v>#VALUE!</v>
      </c>
      <c r="CY4" t="e">
        <f>'prévisions hebdomadaires'!258:258-"?g(!0c"</f>
        <v>#VALUE!</v>
      </c>
      <c r="CZ4" t="e">
        <f>'prévisions hebdomadaires'!259:259-"?g(!0d"</f>
        <v>#VALUE!</v>
      </c>
      <c r="DA4" t="e">
        <f>'prévisions hebdomadaires'!260:260-"?g(!0e"</f>
        <v>#VALUE!</v>
      </c>
      <c r="DB4" t="e">
        <f>'prévisions hebdomadaires'!261:261-"?g(!0f"</f>
        <v>#VALUE!</v>
      </c>
      <c r="DC4" t="e">
        <f>'prévisions hebdomadaires'!262:262-"?g(!0g"</f>
        <v>#VALUE!</v>
      </c>
      <c r="DD4" t="e">
        <f>'prévisions hebdomadaires'!263:263-"?g(!0h"</f>
        <v>#VALUE!</v>
      </c>
      <c r="DE4" t="e">
        <f>'prévisions hebdomadaires'!264:264-"?g(!0i"</f>
        <v>#VALUE!</v>
      </c>
      <c r="DF4" t="e">
        <f>'prévisions hebdomadaires'!265:265-"?g(!0j"</f>
        <v>#VALUE!</v>
      </c>
      <c r="DG4" t="e">
        <f>'prévisions hebdomadaires'!266:266-"?g(!0k"</f>
        <v>#VALUE!</v>
      </c>
      <c r="DH4" t="e">
        <f>'prévisions hebdomadaires'!267:267-"?g(!0l"</f>
        <v>#VALUE!</v>
      </c>
      <c r="DI4" t="e">
        <f>'prévisions hebdomadaires'!268:268-"?g(!0m"</f>
        <v>#VALUE!</v>
      </c>
      <c r="DJ4" t="e">
        <f>'prévisions hebdomadaires'!269:269-"?g(!0n"</f>
        <v>#VALUE!</v>
      </c>
      <c r="DK4" t="e">
        <f>'prévisions hebdomadaires'!270:270-"?g(!0o"</f>
        <v>#VALUE!</v>
      </c>
      <c r="DL4" t="e">
        <f>'prévisions hebdomadaires'!271:271-"?g(!0p"</f>
        <v>#VALUE!</v>
      </c>
      <c r="DM4" t="e">
        <f>'prévisions hebdomadaires'!272:272-"?g(!0q"</f>
        <v>#VALUE!</v>
      </c>
      <c r="DN4" t="e">
        <f>'prévisions hebdomadaires'!273:273-"?g(!0r"</f>
        <v>#VALUE!</v>
      </c>
      <c r="DO4" t="e">
        <f>'prévisions hebdomadaires'!274:274-"?g(!0s"</f>
        <v>#VALUE!</v>
      </c>
      <c r="DP4" t="e">
        <f>'prévisions hebdomadaires'!275:275-"?g(!0t"</f>
        <v>#VALUE!</v>
      </c>
      <c r="DQ4" t="e">
        <f>'prévisions hebdomadaires'!276:276-"?g(!0u"</f>
        <v>#VALUE!</v>
      </c>
      <c r="DR4" t="e">
        <f>'prévisions hebdomadaires'!277:277-"?g(!0v"</f>
        <v>#VALUE!</v>
      </c>
      <c r="DS4" t="e">
        <f>'prévisions hebdomadaires'!278:278-"?g(!0w"</f>
        <v>#VALUE!</v>
      </c>
      <c r="DT4" t="e">
        <f>'prévisions hebdomadaires'!279:279-"?g(!0x"</f>
        <v>#VALUE!</v>
      </c>
      <c r="DU4" t="e">
        <f>'prévisions hebdomadaires'!280:280-"?g(!0y"</f>
        <v>#VALUE!</v>
      </c>
      <c r="DV4" t="e">
        <f>'prévisions hebdomadaires'!281:281-"?g(!0z"</f>
        <v>#VALUE!</v>
      </c>
      <c r="DW4" t="e">
        <f>'prévisions hebdomadaires'!282:282-"?g(!0{"</f>
        <v>#VALUE!</v>
      </c>
      <c r="DX4" t="e">
        <f>'prévisions hebdomadaires'!283:283-"?g(!0|"</f>
        <v>#VALUE!</v>
      </c>
      <c r="DY4" t="e">
        <f>'prévisions hebdomadaires'!284:284-"?g(!0}"</f>
        <v>#VALUE!</v>
      </c>
      <c r="DZ4" t="e">
        <f>'prévisions hebdomadaires'!285:285-"?g(!0~"</f>
        <v>#VALUE!</v>
      </c>
      <c r="EA4" t="e">
        <f>'prévisions hebdomadaires'!286:286-"?g(!1#"</f>
        <v>#VALUE!</v>
      </c>
      <c r="EB4" t="e">
        <f>'prévisions hebdomadaires'!287:287-"?g(!1$"</f>
        <v>#VALUE!</v>
      </c>
      <c r="EC4" t="e">
        <f>'prévisions hebdomadaires'!288:288-"?g(!1%"</f>
        <v>#VALUE!</v>
      </c>
      <c r="ED4" t="e">
        <f>'prévisions hebdomadaires'!289:289-"?g(!1&amp;"</f>
        <v>#VALUE!</v>
      </c>
      <c r="EE4" t="e">
        <f>'prévisions hebdomadaires'!290:290-"?g(!1'"</f>
        <v>#VALUE!</v>
      </c>
      <c r="EF4" t="e">
        <f>'prévisions hebdomadaires'!291:291-"?g(!1("</f>
        <v>#VALUE!</v>
      </c>
      <c r="EG4" t="e">
        <f>'prévisions hebdomadaires'!292:292-"?g(!1)"</f>
        <v>#VALUE!</v>
      </c>
      <c r="EH4" t="e">
        <f>'prévisions hebdomadaires'!293:293-"?g(!1."</f>
        <v>#VALUE!</v>
      </c>
      <c r="EI4" t="e">
        <f>'prévisions hebdomadaires'!294:294-"?g(!1/"</f>
        <v>#VALUE!</v>
      </c>
      <c r="EJ4" t="e">
        <f>'prévisions hebdomadaires'!295:295-"?g(!10"</f>
        <v>#VALUE!</v>
      </c>
      <c r="EK4" t="e">
        <f>'prévisions hebdomadaires'!296:296-"?g(!11"</f>
        <v>#VALUE!</v>
      </c>
      <c r="EL4" t="e">
        <f>'prévisions hebdomadaires'!297:297-"?g(!12"</f>
        <v>#VALUE!</v>
      </c>
      <c r="EM4" t="e">
        <f>'prévisions hebdomadaires'!298:298-"?g(!13"</f>
        <v>#VALUE!</v>
      </c>
      <c r="EN4" t="e">
        <f>'prévisions hebdomadaires'!299:299-"?g(!14"</f>
        <v>#VALUE!</v>
      </c>
      <c r="EO4" t="e">
        <f>'prévisions hebdomadaires'!300:300-"?g(!15"</f>
        <v>#VALUE!</v>
      </c>
      <c r="EP4" t="e">
        <f>'prévisions hebdomadaires'!301:301-"?g(!16"</f>
        <v>#VALUE!</v>
      </c>
      <c r="EQ4" t="e">
        <f>'prévisions hebdomadaires'!302:302-"?g(!17"</f>
        <v>#VALUE!</v>
      </c>
      <c r="ER4" t="e">
        <f>'prévisions hebdomadaires'!303:303-"?g(!18"</f>
        <v>#VALUE!</v>
      </c>
      <c r="ES4" t="e">
        <f>'prévisions hebdomadaires'!304:304-"?g(!19"</f>
        <v>#VALUE!</v>
      </c>
      <c r="ET4" t="e">
        <f>'prévisions hebdomadaires'!305:305-"?g(!1:"</f>
        <v>#VALUE!</v>
      </c>
      <c r="EU4" t="e">
        <f>'prévisions hebdomadaires'!306:306-"?g(!1;"</f>
        <v>#VALUE!</v>
      </c>
      <c r="EV4" t="e">
        <f>'prévisions hebdomadaires'!307:307-"?g(!1&lt;"</f>
        <v>#VALUE!</v>
      </c>
      <c r="EW4" t="e">
        <f>'prévisions hebdomadaires'!308:308-"?g(!1="</f>
        <v>#VALUE!</v>
      </c>
      <c r="EX4" t="e">
        <f>'prévisions hebdomadaires'!309:309-"?g(!1&gt;"</f>
        <v>#VALUE!</v>
      </c>
      <c r="EY4" t="e">
        <f>'prévisions hebdomadaires'!310:310-"?g(!1?"</f>
        <v>#VALUE!</v>
      </c>
      <c r="EZ4" t="e">
        <f>'prévisions hebdomadaires'!311:311-"?g(!1@"</f>
        <v>#VALUE!</v>
      </c>
      <c r="FA4" t="e">
        <f>'prévisions hebdomadaires'!A1+"?g(!1A"</f>
        <v>#VALUE!</v>
      </c>
      <c r="FB4" t="e">
        <f>'prévisions hebdomadaires'!B1+"?g(!1B"</f>
        <v>#VALUE!</v>
      </c>
      <c r="FC4" t="e">
        <f>'prévisions hebdomadaires'!C1+"?g(!1C"</f>
        <v>#VALUE!</v>
      </c>
      <c r="FD4" t="e">
        <f>'prévisions hebdomadaires'!D1+"?g(!1D"</f>
        <v>#VALUE!</v>
      </c>
      <c r="FE4" t="e">
        <f>'prévisions hebdomadaires'!E1+"?g(!1E"</f>
        <v>#VALUE!</v>
      </c>
      <c r="FF4" t="e">
        <f>'prévisions hebdomadaires'!F1+"?g(!1F"</f>
        <v>#VALUE!</v>
      </c>
      <c r="FG4" t="e">
        <f>'prévisions hebdomadaires'!G1+"?g(!1G"</f>
        <v>#VALUE!</v>
      </c>
      <c r="FH4" t="e">
        <f>'prévisions hebdomadaires'!H1+"?g(!1H"</f>
        <v>#VALUE!</v>
      </c>
      <c r="FI4" t="e">
        <f>'prévisions hebdomadaires'!A2+"?g(!1I"</f>
        <v>#VALUE!</v>
      </c>
      <c r="FJ4" t="e">
        <f>'prévisions hebdomadaires'!E2+"?g(!1J"</f>
        <v>#VALUE!</v>
      </c>
      <c r="FK4" t="e">
        <f>'prévisions hebdomadaires'!H2+"?g(!1K"</f>
        <v>#VALUE!</v>
      </c>
      <c r="FL4" t="e">
        <f>'prévisions hebdomadaires'!A3+"?g(!1L"</f>
        <v>#VALUE!</v>
      </c>
      <c r="FM4" t="e">
        <f>'prévisions hebdomadaires'!F3+"?g(!1M"</f>
        <v>#VALUE!</v>
      </c>
      <c r="FN4" t="e">
        <f>'prévisions hebdomadaires'!G3+"?g(!1N"</f>
        <v>#VALUE!</v>
      </c>
      <c r="FO4" t="e">
        <f>'prévisions hebdomadaires'!H3+"?g(!1O"</f>
        <v>#VALUE!</v>
      </c>
      <c r="FP4" t="e">
        <f>'prévisions hebdomadaires'!I3+"?g(!1P"</f>
        <v>#VALUE!</v>
      </c>
      <c r="FQ4" t="e">
        <f>'prévisions hebdomadaires'!A4+"?g(!1Q"</f>
        <v>#VALUE!</v>
      </c>
      <c r="FR4" t="e">
        <f>'prévisions hebdomadaires'!F4+"?g(!1R"</f>
        <v>#VALUE!</v>
      </c>
      <c r="FS4" t="e">
        <f>'prévisions hebdomadaires'!G4+"?g(!1S"</f>
        <v>#VALUE!</v>
      </c>
      <c r="FT4" t="e">
        <f>'prévisions hebdomadaires'!H4+"?g(!1T"</f>
        <v>#VALUE!</v>
      </c>
      <c r="FU4" t="e">
        <f>'prévisions hebdomadaires'!I4+"?g(!1U"</f>
        <v>#VALUE!</v>
      </c>
      <c r="FV4" t="e">
        <f>'prévisions hebdomadaires'!A5+"?g(!1V"</f>
        <v>#VALUE!</v>
      </c>
      <c r="FW4" t="e">
        <f>'prévisions hebdomadaires'!F5+"?g(!1W"</f>
        <v>#VALUE!</v>
      </c>
      <c r="FX4" t="e">
        <f>'prévisions hebdomadaires'!G5+"?g(!1X"</f>
        <v>#VALUE!</v>
      </c>
      <c r="FY4" t="e">
        <f>'prévisions hebdomadaires'!H5+"?g(!1Y"</f>
        <v>#VALUE!</v>
      </c>
      <c r="FZ4" t="e">
        <f>'prévisions hebdomadaires'!I5+"?g(!1Z"</f>
        <v>#VALUE!</v>
      </c>
      <c r="GA4" t="e">
        <f>'prévisions hebdomadaires'!A6+"?g(!1["</f>
        <v>#VALUE!</v>
      </c>
      <c r="GB4" t="e">
        <f>'prévisions hebdomadaires'!B6+"?g(!1\"</f>
        <v>#VALUE!</v>
      </c>
      <c r="GC4" t="e">
        <f>'prévisions hebdomadaires'!C6+"?g(!1]"</f>
        <v>#VALUE!</v>
      </c>
      <c r="GD4" t="e">
        <f>'prévisions hebdomadaires'!D6+"?g(!1^"</f>
        <v>#VALUE!</v>
      </c>
      <c r="GE4" s="25" t="e">
        <f>'prévisions hebdomadaires'!E6+"?g(!1_"</f>
        <v>#VALUE!</v>
      </c>
      <c r="GF4" t="e">
        <f>'prévisions hebdomadaires'!F6+"?g(!1`"</f>
        <v>#VALUE!</v>
      </c>
      <c r="GG4" t="e">
        <f>'prévisions hebdomadaires'!G6+"?g(!1a"</f>
        <v>#VALUE!</v>
      </c>
      <c r="GH4" s="25" t="e">
        <f>'prévisions hebdomadaires'!H6+"?g(!1b"</f>
        <v>#VALUE!</v>
      </c>
      <c r="GI4" t="e">
        <f>'prévisions hebdomadaires'!A7+"?g(!1c"</f>
        <v>#VALUE!</v>
      </c>
      <c r="GJ4" t="e">
        <f>'prévisions hebdomadaires'!B7+"?g(!1d"</f>
        <v>#VALUE!</v>
      </c>
      <c r="GK4" t="e">
        <f>'prévisions hebdomadaires'!C7+"?g(!1e"</f>
        <v>#VALUE!</v>
      </c>
      <c r="GL4" t="e">
        <f>'prévisions hebdomadaires'!D7+"?g(!1f"</f>
        <v>#VALUE!</v>
      </c>
      <c r="GM4" s="25" t="e">
        <f>'prévisions hebdomadaires'!E7+"?g(!1g"</f>
        <v>#VALUE!</v>
      </c>
      <c r="GN4" t="e">
        <f>'prévisions hebdomadaires'!F7+"?g(!1h"</f>
        <v>#VALUE!</v>
      </c>
      <c r="GO4" t="e">
        <f>'prévisions hebdomadaires'!G7+"?g(!1i"</f>
        <v>#VALUE!</v>
      </c>
      <c r="GP4" s="25" t="e">
        <f>'prévisions hebdomadaires'!H7+"?g(!1j"</f>
        <v>#VALUE!</v>
      </c>
      <c r="GQ4" t="e">
        <f>'prévisions hebdomadaires'!A8+"?g(!1k"</f>
        <v>#VALUE!</v>
      </c>
      <c r="GR4" t="e">
        <f>'prévisions hebdomadaires'!B8+"?g(!1l"</f>
        <v>#VALUE!</v>
      </c>
      <c r="GS4" t="e">
        <f>'prévisions hebdomadaires'!C8+"?g(!1m"</f>
        <v>#VALUE!</v>
      </c>
      <c r="GT4" t="e">
        <f>'prévisions hebdomadaires'!D8+"?g(!1n"</f>
        <v>#VALUE!</v>
      </c>
      <c r="GU4" t="e">
        <f>'prévisions hebdomadaires'!E8+"?g(!1o"</f>
        <v>#VALUE!</v>
      </c>
      <c r="GV4" t="e">
        <f>'prévisions hebdomadaires'!F8+"?g(!1p"</f>
        <v>#VALUE!</v>
      </c>
      <c r="GW4" t="e">
        <f>'prévisions hebdomadaires'!G8+"?g(!1q"</f>
        <v>#VALUE!</v>
      </c>
      <c r="GX4" t="e">
        <f>'prévisions hebdomadaires'!H8+"?g(!1r"</f>
        <v>#VALUE!</v>
      </c>
      <c r="GY4" t="e">
        <f>'prévisions hebdomadaires'!A9+"?g(!1s"</f>
        <v>#VALUE!</v>
      </c>
      <c r="GZ4" t="e">
        <f>'prévisions hebdomadaires'!B9+"?g(!1t"</f>
        <v>#VALUE!</v>
      </c>
      <c r="HA4" t="e">
        <f>'prévisions hebdomadaires'!C9+"?g(!1u"</f>
        <v>#VALUE!</v>
      </c>
      <c r="HB4" t="e">
        <f>'prévisions hebdomadaires'!D9+"?g(!1v"</f>
        <v>#VALUE!</v>
      </c>
      <c r="HC4" t="e">
        <f>'prévisions hebdomadaires'!E9+"?g(!1w"</f>
        <v>#VALUE!</v>
      </c>
      <c r="HD4" t="e">
        <f>'prévisions hebdomadaires'!F9+"?g(!1x"</f>
        <v>#VALUE!</v>
      </c>
      <c r="HE4" t="e">
        <f>'prévisions hebdomadaires'!G9+"?g(!1y"</f>
        <v>#VALUE!</v>
      </c>
      <c r="HF4" t="e">
        <f>'prévisions hebdomadaires'!H9+"?g(!1z"</f>
        <v>#VALUE!</v>
      </c>
      <c r="HG4" t="e">
        <f>'prévisions hebdomadaires'!A10+"?g(!1{"</f>
        <v>#VALUE!</v>
      </c>
      <c r="HH4" t="e">
        <f>'prévisions hebdomadaires'!B10+"?g(!1|"</f>
        <v>#VALUE!</v>
      </c>
      <c r="HI4" t="e">
        <f>'prévisions hebdomadaires'!C10+"?g(!1}"</f>
        <v>#VALUE!</v>
      </c>
      <c r="HJ4" t="e">
        <f>'prévisions hebdomadaires'!D10+"?g(!1~"</f>
        <v>#VALUE!</v>
      </c>
      <c r="HK4" t="e">
        <f>'prévisions hebdomadaires'!E10+"?g(!2#"</f>
        <v>#VALUE!</v>
      </c>
      <c r="HL4" t="e">
        <f>'prévisions hebdomadaires'!F10+"?g(!2$"</f>
        <v>#VALUE!</v>
      </c>
      <c r="HM4" t="e">
        <f>'prévisions hebdomadaires'!G10+"?g(!2%"</f>
        <v>#VALUE!</v>
      </c>
      <c r="HN4" t="e">
        <f>'prévisions hebdomadaires'!H10+"?g(!2&amp;"</f>
        <v>#VALUE!</v>
      </c>
      <c r="HO4" t="e">
        <f>'prévisions hebdomadaires'!A11+"?g(!2'"</f>
        <v>#VALUE!</v>
      </c>
      <c r="HP4" t="e">
        <f>'prévisions hebdomadaires'!B11+"?g(!2("</f>
        <v>#VALUE!</v>
      </c>
      <c r="HQ4" t="e">
        <f>'prévisions hebdomadaires'!C11+"?g(!2)"</f>
        <v>#VALUE!</v>
      </c>
      <c r="HR4" t="e">
        <f>'prévisions hebdomadaires'!D11+"?g(!2."</f>
        <v>#VALUE!</v>
      </c>
      <c r="HS4" t="e">
        <f>'prévisions hebdomadaires'!E11+"?g(!2/"</f>
        <v>#VALUE!</v>
      </c>
      <c r="HT4" t="e">
        <f>'prévisions hebdomadaires'!F11+"?g(!20"</f>
        <v>#VALUE!</v>
      </c>
      <c r="HU4" t="e">
        <f>'prévisions hebdomadaires'!G11+"?g(!21"</f>
        <v>#VALUE!</v>
      </c>
      <c r="HV4" t="e">
        <f>'prévisions hebdomadaires'!H11+"?g(!22"</f>
        <v>#VALUE!</v>
      </c>
      <c r="HW4" t="e">
        <f>'prévisions hebdomadaires'!A12+"?g(!23"</f>
        <v>#VALUE!</v>
      </c>
      <c r="HX4" t="e">
        <f>'prévisions hebdomadaires'!B12+"?g(!24"</f>
        <v>#VALUE!</v>
      </c>
      <c r="HY4" t="e">
        <f>'prévisions hebdomadaires'!C12+"?g(!25"</f>
        <v>#VALUE!</v>
      </c>
      <c r="HZ4" t="e">
        <f>'prévisions hebdomadaires'!D12+"?g(!26"</f>
        <v>#VALUE!</v>
      </c>
      <c r="IA4" t="e">
        <f>'prévisions hebdomadaires'!E12+"?g(!27"</f>
        <v>#VALUE!</v>
      </c>
      <c r="IB4" t="e">
        <f>'prévisions hebdomadaires'!F12+"?g(!28"</f>
        <v>#VALUE!</v>
      </c>
      <c r="IC4" t="e">
        <f>'prévisions hebdomadaires'!G12+"?g(!29"</f>
        <v>#VALUE!</v>
      </c>
      <c r="ID4" t="e">
        <f>'prévisions hebdomadaires'!H12+"?g(!2:"</f>
        <v>#VALUE!</v>
      </c>
      <c r="IE4" t="e">
        <f>'prévisions hebdomadaires'!A13+"?g(!2;"</f>
        <v>#VALUE!</v>
      </c>
      <c r="IF4" t="e">
        <f>'prévisions hebdomadaires'!B13+"?g(!2&lt;"</f>
        <v>#VALUE!</v>
      </c>
      <c r="IG4" t="e">
        <f>'prévisions hebdomadaires'!C13+"?g(!2="</f>
        <v>#VALUE!</v>
      </c>
      <c r="IH4" t="e">
        <f>'prévisions hebdomadaires'!D13+"?g(!2&gt;"</f>
        <v>#VALUE!</v>
      </c>
      <c r="II4" t="e">
        <f>'prévisions hebdomadaires'!E13+"?g(!2?"</f>
        <v>#VALUE!</v>
      </c>
      <c r="IJ4" t="e">
        <f>'prévisions hebdomadaires'!F13+"?g(!2@"</f>
        <v>#VALUE!</v>
      </c>
      <c r="IK4" t="e">
        <f>'prévisions hebdomadaires'!G13+"?g(!2A"</f>
        <v>#VALUE!</v>
      </c>
      <c r="IL4" t="e">
        <f>'prévisions hebdomadaires'!H13+"?g(!2B"</f>
        <v>#VALUE!</v>
      </c>
      <c r="IM4" t="e">
        <f>'prévisions hebdomadaires'!A14+"?g(!2C"</f>
        <v>#VALUE!</v>
      </c>
      <c r="IN4" t="e">
        <f>'prévisions hebdomadaires'!B14+"?g(!2D"</f>
        <v>#VALUE!</v>
      </c>
      <c r="IO4" t="e">
        <f>'prévisions hebdomadaires'!C14+"?g(!2E"</f>
        <v>#VALUE!</v>
      </c>
      <c r="IP4" t="e">
        <f>'prévisions hebdomadaires'!D14+"?g(!2F"</f>
        <v>#VALUE!</v>
      </c>
      <c r="IQ4" t="e">
        <f>'prévisions hebdomadaires'!E14+"?g(!2G"</f>
        <v>#VALUE!</v>
      </c>
      <c r="IR4" t="e">
        <f>'prévisions hebdomadaires'!F14+"?g(!2H"</f>
        <v>#VALUE!</v>
      </c>
      <c r="IS4" t="e">
        <f>'prévisions hebdomadaires'!G14+"?g(!2I"</f>
        <v>#VALUE!</v>
      </c>
      <c r="IT4" t="e">
        <f>'prévisions hebdomadaires'!H14+"?g(!2J"</f>
        <v>#VALUE!</v>
      </c>
      <c r="IU4" t="e">
        <f>'prévisions hebdomadaires'!A15+"?g(!2K"</f>
        <v>#VALUE!</v>
      </c>
      <c r="IV4" t="e">
        <f>'prévisions hebdomadaires'!B15+"?g(!2L"</f>
        <v>#VALUE!</v>
      </c>
    </row>
    <row r="5" spans="1:256" x14ac:dyDescent="0.25">
      <c r="A5" t="s">
        <v>22</v>
      </c>
      <c r="F5" t="e">
        <f>'prévisions hebdomadaires'!C15+"?g(!2M"</f>
        <v>#VALUE!</v>
      </c>
      <c r="G5" t="e">
        <f>'prévisions hebdomadaires'!D15+"?g(!2N"</f>
        <v>#VALUE!</v>
      </c>
      <c r="H5" t="e">
        <f>'prévisions hebdomadaires'!E15+"?g(!2O"</f>
        <v>#VALUE!</v>
      </c>
      <c r="I5" t="e">
        <f>'prévisions hebdomadaires'!F15+"?g(!2P"</f>
        <v>#VALUE!</v>
      </c>
      <c r="J5" t="e">
        <f>'prévisions hebdomadaires'!G15+"?g(!2Q"</f>
        <v>#VALUE!</v>
      </c>
      <c r="K5" t="e">
        <f>'prévisions hebdomadaires'!H15+"?g(!2R"</f>
        <v>#VALUE!</v>
      </c>
      <c r="L5" t="e">
        <f>'prévisions hebdomadaires'!A16+"?g(!2S"</f>
        <v>#VALUE!</v>
      </c>
      <c r="M5" t="e">
        <f>'prévisions hebdomadaires'!B16+"?g(!2T"</f>
        <v>#VALUE!</v>
      </c>
      <c r="N5" t="e">
        <f>'prévisions hebdomadaires'!C16+"?g(!2U"</f>
        <v>#VALUE!</v>
      </c>
      <c r="O5" t="e">
        <f>'prévisions hebdomadaires'!D16+"?g(!2V"</f>
        <v>#VALUE!</v>
      </c>
      <c r="P5" t="e">
        <f>'prévisions hebdomadaires'!E16+"?g(!2W"</f>
        <v>#VALUE!</v>
      </c>
      <c r="Q5" t="e">
        <f>'prévisions hebdomadaires'!F16+"?g(!2X"</f>
        <v>#VALUE!</v>
      </c>
      <c r="R5" t="e">
        <f>'prévisions hebdomadaires'!G16+"?g(!2Y"</f>
        <v>#VALUE!</v>
      </c>
      <c r="S5" t="e">
        <f>'prévisions hebdomadaires'!H16+"?g(!2Z"</f>
        <v>#VALUE!</v>
      </c>
      <c r="T5" t="e">
        <f>'prévisions hebdomadaires'!B17+"?g(!2["</f>
        <v>#VALUE!</v>
      </c>
      <c r="U5" t="e">
        <f>'prévisions hebdomadaires'!C17+"?g(!2\"</f>
        <v>#VALUE!</v>
      </c>
      <c r="V5" t="e">
        <f>'prévisions hebdomadaires'!D17+"?g(!2]"</f>
        <v>#VALUE!</v>
      </c>
      <c r="W5" t="e">
        <f>'prévisions hebdomadaires'!E17+"?g(!2^"</f>
        <v>#VALUE!</v>
      </c>
      <c r="X5" t="e">
        <f>'prévisions hebdomadaires'!F17+"?g(!2_"</f>
        <v>#VALUE!</v>
      </c>
      <c r="Y5" t="e">
        <f>'prévisions hebdomadaires'!G17+"?g(!2`"</f>
        <v>#VALUE!</v>
      </c>
      <c r="Z5" t="e">
        <f>'prévisions hebdomadaires'!H17+"?g(!2a"</f>
        <v>#VALUE!</v>
      </c>
      <c r="AA5" t="e">
        <f>'prévisions hebdomadaires'!B18+"?g(!2b"</f>
        <v>#VALUE!</v>
      </c>
      <c r="AB5" t="e">
        <f>'prévisions hebdomadaires'!C18+"?g(!2c"</f>
        <v>#VALUE!</v>
      </c>
      <c r="AC5" t="e">
        <f>'prévisions hebdomadaires'!D18+"?g(!2d"</f>
        <v>#VALUE!</v>
      </c>
      <c r="AD5" t="e">
        <f>'prévisions hebdomadaires'!E18+"?g(!2e"</f>
        <v>#VALUE!</v>
      </c>
      <c r="AE5" t="e">
        <f>'prévisions hebdomadaires'!F18+"?g(!2f"</f>
        <v>#VALUE!</v>
      </c>
      <c r="AF5" t="e">
        <f>'prévisions hebdomadaires'!G18+"?g(!2g"</f>
        <v>#VALUE!</v>
      </c>
      <c r="AG5" t="e">
        <f>'prévisions hebdomadaires'!H18+"?g(!2h"</f>
        <v>#VALUE!</v>
      </c>
      <c r="AH5" t="e">
        <f>'prévisions hebdomadaires'!B19+"?g(!2i"</f>
        <v>#VALUE!</v>
      </c>
      <c r="AI5" t="e">
        <f>'prévisions hebdomadaires'!C19+"?g(!2j"</f>
        <v>#VALUE!</v>
      </c>
      <c r="AJ5" t="e">
        <f>'prévisions hebdomadaires'!D19+"?g(!2k"</f>
        <v>#VALUE!</v>
      </c>
      <c r="AK5" t="e">
        <f>'prévisions hebdomadaires'!E19+"?g(!2l"</f>
        <v>#VALUE!</v>
      </c>
      <c r="AL5" t="e">
        <f>'prévisions hebdomadaires'!F19+"?g(!2m"</f>
        <v>#VALUE!</v>
      </c>
      <c r="AM5" t="e">
        <f>'prévisions hebdomadaires'!G19+"?g(!2n"</f>
        <v>#VALUE!</v>
      </c>
      <c r="AN5" t="e">
        <f>'prévisions hebdomadaires'!H19+"?g(!2o"</f>
        <v>#VALUE!</v>
      </c>
      <c r="AO5" t="e">
        <f>'prévisions hebdomadaires'!B20+"?g(!2p"</f>
        <v>#VALUE!</v>
      </c>
      <c r="AP5" t="e">
        <f>'prévisions hebdomadaires'!C20+"?g(!2q"</f>
        <v>#VALUE!</v>
      </c>
      <c r="AQ5" t="e">
        <f>'prévisions hebdomadaires'!D20+"?g(!2r"</f>
        <v>#VALUE!</v>
      </c>
      <c r="AR5" t="e">
        <f>'prévisions hebdomadaires'!E20+"?g(!2s"</f>
        <v>#VALUE!</v>
      </c>
      <c r="AS5" t="e">
        <f>'prévisions hebdomadaires'!F20+"?g(!2t"</f>
        <v>#VALUE!</v>
      </c>
      <c r="AT5" t="e">
        <f>'prévisions hebdomadaires'!G20+"?g(!2u"</f>
        <v>#VALUE!</v>
      </c>
      <c r="AU5" t="e">
        <f>'prévisions hebdomadaires'!H20+"?g(!2v"</f>
        <v>#VALUE!</v>
      </c>
      <c r="AV5" t="e">
        <f>'prévisions hebdomadaires'!B21+"?g(!2w"</f>
        <v>#VALUE!</v>
      </c>
      <c r="AW5" t="e">
        <f>'prévisions hebdomadaires'!C21+"?g(!2x"</f>
        <v>#VALUE!</v>
      </c>
      <c r="AX5" t="e">
        <f>'prévisions hebdomadaires'!D21+"?g(!2y"</f>
        <v>#VALUE!</v>
      </c>
      <c r="AY5" t="e">
        <f>'prévisions hebdomadaires'!E21+"?g(!2z"</f>
        <v>#VALUE!</v>
      </c>
      <c r="AZ5" t="e">
        <f>'prévisions hebdomadaires'!F21+"?g(!2{"</f>
        <v>#VALUE!</v>
      </c>
      <c r="BA5" t="e">
        <f>'prévisions hebdomadaires'!G21+"?g(!2|"</f>
        <v>#VALUE!</v>
      </c>
      <c r="BB5" t="e">
        <f>'prévisions hebdomadaires'!H21+"?g(!2}"</f>
        <v>#VALUE!</v>
      </c>
      <c r="BC5" t="e">
        <f>'prévisions hebdomadaires'!B22+"?g(!2~"</f>
        <v>#VALUE!</v>
      </c>
      <c r="BD5" t="e">
        <f>'prévisions hebdomadaires'!C22+"?g(!3#"</f>
        <v>#VALUE!</v>
      </c>
      <c r="BE5" t="e">
        <f>'prévisions hebdomadaires'!D22+"?g(!3$"</f>
        <v>#VALUE!</v>
      </c>
      <c r="BF5" t="e">
        <f>'prévisions hebdomadaires'!E22+"?g(!3%"</f>
        <v>#VALUE!</v>
      </c>
      <c r="BG5" t="e">
        <f>'prévisions hebdomadaires'!F22+"?g(!3&amp;"</f>
        <v>#VALUE!</v>
      </c>
      <c r="BH5" t="e">
        <f>'prévisions hebdomadaires'!G22+"?g(!3'"</f>
        <v>#VALUE!</v>
      </c>
      <c r="BI5" t="e">
        <f>'prévisions hebdomadaires'!H22+"?g(!3("</f>
        <v>#VALUE!</v>
      </c>
      <c r="BJ5" t="e">
        <f>'prévisions hebdomadaires'!B23+"?g(!3)"</f>
        <v>#VALUE!</v>
      </c>
      <c r="BK5" t="e">
        <f>'prévisions hebdomadaires'!C23+"?g(!3."</f>
        <v>#VALUE!</v>
      </c>
      <c r="BL5" t="e">
        <f>'prévisions hebdomadaires'!D23+"?g(!3/"</f>
        <v>#VALUE!</v>
      </c>
      <c r="BM5" t="e">
        <f>'prévisions hebdomadaires'!E23+"?g(!30"</f>
        <v>#VALUE!</v>
      </c>
      <c r="BN5" t="e">
        <f>'prévisions hebdomadaires'!F23+"?g(!31"</f>
        <v>#VALUE!</v>
      </c>
      <c r="BO5" t="e">
        <f>'prévisions hebdomadaires'!G23+"?g(!32"</f>
        <v>#VALUE!</v>
      </c>
      <c r="BP5" t="e">
        <f>'prévisions hebdomadaires'!H23+"?g(!33"</f>
        <v>#VALUE!</v>
      </c>
      <c r="BQ5" t="e">
        <f>'prévisions hebdomadaires'!B24+"?g(!34"</f>
        <v>#VALUE!</v>
      </c>
      <c r="BR5" t="e">
        <f>'prévisions hebdomadaires'!C24+"?g(!35"</f>
        <v>#VALUE!</v>
      </c>
      <c r="BS5" t="e">
        <f>'prévisions hebdomadaires'!D24+"?g(!36"</f>
        <v>#VALUE!</v>
      </c>
      <c r="BT5" t="e">
        <f>'prévisions hebdomadaires'!E24+"?g(!37"</f>
        <v>#VALUE!</v>
      </c>
      <c r="BU5" t="e">
        <f>'prévisions hebdomadaires'!F24+"?g(!38"</f>
        <v>#VALUE!</v>
      </c>
      <c r="BV5" t="e">
        <f>'prévisions hebdomadaires'!G24+"?g(!39"</f>
        <v>#VALUE!</v>
      </c>
      <c r="BW5" t="e">
        <f>'prévisions hebdomadaires'!H24+"?g(!3:"</f>
        <v>#VALUE!</v>
      </c>
      <c r="BX5" t="e">
        <f>'prévisions hebdomadaires'!B25+"?g(!3;"</f>
        <v>#VALUE!</v>
      </c>
      <c r="BY5" t="e">
        <f>'prévisions hebdomadaires'!C25+"?g(!3&lt;"</f>
        <v>#VALUE!</v>
      </c>
      <c r="BZ5" t="e">
        <f>'prévisions hebdomadaires'!D25+"?g(!3="</f>
        <v>#VALUE!</v>
      </c>
      <c r="CA5" t="e">
        <f>'prévisions hebdomadaires'!E25+"?g(!3&gt;"</f>
        <v>#VALUE!</v>
      </c>
      <c r="CB5" t="e">
        <f>'prévisions hebdomadaires'!F25+"?g(!3?"</f>
        <v>#VALUE!</v>
      </c>
      <c r="CC5" t="e">
        <f>'prévisions hebdomadaires'!G25+"?g(!3@"</f>
        <v>#VALUE!</v>
      </c>
      <c r="CD5" t="e">
        <f>'prévisions hebdomadaires'!H25+"?g(!3A"</f>
        <v>#VALUE!</v>
      </c>
      <c r="CE5" t="e">
        <f>'prévisions hebdomadaires'!B26+"?g(!3B"</f>
        <v>#VALUE!</v>
      </c>
      <c r="CF5" t="e">
        <f>'prévisions hebdomadaires'!C26+"?g(!3C"</f>
        <v>#VALUE!</v>
      </c>
      <c r="CG5" t="e">
        <f>'prévisions hebdomadaires'!D26+"?g(!3D"</f>
        <v>#VALUE!</v>
      </c>
      <c r="CH5" t="e">
        <f>'prévisions hebdomadaires'!E26+"?g(!3E"</f>
        <v>#VALUE!</v>
      </c>
      <c r="CI5" t="e">
        <f>'prévisions hebdomadaires'!F26+"?g(!3F"</f>
        <v>#VALUE!</v>
      </c>
      <c r="CJ5" t="e">
        <f>'prévisions hebdomadaires'!G26+"?g(!3G"</f>
        <v>#VALUE!</v>
      </c>
      <c r="CK5" t="e">
        <f>'prévisions hebdomadaires'!H26+"?g(!3H"</f>
        <v>#VALUE!</v>
      </c>
      <c r="CL5" t="e">
        <f>'prévisions hebdomadaires'!B27+"?g(!3I"</f>
        <v>#VALUE!</v>
      </c>
      <c r="CM5" t="e">
        <f>'prévisions hebdomadaires'!C27+"?g(!3J"</f>
        <v>#VALUE!</v>
      </c>
      <c r="CN5" t="e">
        <f>'prévisions hebdomadaires'!D27+"?g(!3K"</f>
        <v>#VALUE!</v>
      </c>
      <c r="CO5" t="e">
        <f>'prévisions hebdomadaires'!E27+"?g(!3L"</f>
        <v>#VALUE!</v>
      </c>
      <c r="CP5" t="e">
        <f>'prévisions hebdomadaires'!F27+"?g(!3M"</f>
        <v>#VALUE!</v>
      </c>
      <c r="CQ5" t="e">
        <f>'prévisions hebdomadaires'!G27+"?g(!3N"</f>
        <v>#VALUE!</v>
      </c>
      <c r="CR5" t="e">
        <f>'prévisions hebdomadaires'!H27+"?g(!3O"</f>
        <v>#VALUE!</v>
      </c>
      <c r="CS5" t="e">
        <f>'prévisions hebdomadaires'!B28+"?g(!3P"</f>
        <v>#VALUE!</v>
      </c>
      <c r="CT5" t="e">
        <f>'prévisions hebdomadaires'!C28+"?g(!3Q"</f>
        <v>#VALUE!</v>
      </c>
      <c r="CU5" t="e">
        <f>'prévisions hebdomadaires'!D28+"?g(!3R"</f>
        <v>#VALUE!</v>
      </c>
      <c r="CV5" t="e">
        <f>'prévisions hebdomadaires'!E28+"?g(!3S"</f>
        <v>#VALUE!</v>
      </c>
      <c r="CW5" t="e">
        <f>'prévisions hebdomadaires'!F28+"?g(!3T"</f>
        <v>#VALUE!</v>
      </c>
      <c r="CX5" t="e">
        <f>'prévisions hebdomadaires'!G28+"?g(!3U"</f>
        <v>#VALUE!</v>
      </c>
      <c r="CY5" t="e">
        <f>'prévisions hebdomadaires'!H28+"?g(!3V"</f>
        <v>#VALUE!</v>
      </c>
      <c r="CZ5" t="e">
        <f>'prévisions hebdomadaires'!B29+"?g(!3W"</f>
        <v>#VALUE!</v>
      </c>
      <c r="DA5" t="e">
        <f>'prévisions hebdomadaires'!C29+"?g(!3X"</f>
        <v>#VALUE!</v>
      </c>
      <c r="DB5" t="e">
        <f>'prévisions hebdomadaires'!D29+"?g(!3Y"</f>
        <v>#VALUE!</v>
      </c>
      <c r="DC5" t="e">
        <f>'prévisions hebdomadaires'!E29+"?g(!3Z"</f>
        <v>#VALUE!</v>
      </c>
      <c r="DD5" t="e">
        <f>'prévisions hebdomadaires'!F29+"?g(!3["</f>
        <v>#VALUE!</v>
      </c>
      <c r="DE5" t="e">
        <f>'prévisions hebdomadaires'!G29+"?g(!3\"</f>
        <v>#VALUE!</v>
      </c>
      <c r="DF5" t="e">
        <f>'prévisions hebdomadaires'!H29+"?g(!3]"</f>
        <v>#VALUE!</v>
      </c>
      <c r="DG5" t="e">
        <f>'prévisions hebdomadaires'!B30+"?g(!3^"</f>
        <v>#VALUE!</v>
      </c>
      <c r="DH5" t="e">
        <f>'prévisions hebdomadaires'!C30+"?g(!3_"</f>
        <v>#VALUE!</v>
      </c>
      <c r="DI5" t="e">
        <f>'prévisions hebdomadaires'!D30+"?g(!3`"</f>
        <v>#VALUE!</v>
      </c>
      <c r="DJ5" t="e">
        <f>'prévisions hebdomadaires'!E30+"?g(!3a"</f>
        <v>#VALUE!</v>
      </c>
      <c r="DK5" t="e">
        <f>'prévisions hebdomadaires'!F30+"?g(!3b"</f>
        <v>#VALUE!</v>
      </c>
      <c r="DL5" t="e">
        <f>'prévisions hebdomadaires'!G30+"?g(!3c"</f>
        <v>#VALUE!</v>
      </c>
      <c r="DM5" t="e">
        <f>'prévisions hebdomadaires'!H30+"?g(!3d"</f>
        <v>#VALUE!</v>
      </c>
      <c r="DN5" t="e">
        <f>'prévisions hebdomadaires'!B31+"?g(!3e"</f>
        <v>#VALUE!</v>
      </c>
      <c r="DO5" t="e">
        <f>'prévisions hebdomadaires'!C31+"?g(!3f"</f>
        <v>#VALUE!</v>
      </c>
      <c r="DP5" t="e">
        <f>'prévisions hebdomadaires'!D31+"?g(!3g"</f>
        <v>#VALUE!</v>
      </c>
      <c r="DQ5" t="e">
        <f>'prévisions hebdomadaires'!E31+"?g(!3h"</f>
        <v>#VALUE!</v>
      </c>
      <c r="DR5" t="e">
        <f>'prévisions hebdomadaires'!F31+"?g(!3i"</f>
        <v>#VALUE!</v>
      </c>
      <c r="DS5" t="e">
        <f>'prévisions hebdomadaires'!G31+"?g(!3j"</f>
        <v>#VALUE!</v>
      </c>
      <c r="DT5" t="e">
        <f>'prévisions hebdomadaires'!H31+"?g(!3k"</f>
        <v>#VALUE!</v>
      </c>
      <c r="DU5" t="e">
        <f>'prévisions hebdomadaires'!B32+"?g(!3l"</f>
        <v>#VALUE!</v>
      </c>
      <c r="DV5" t="e">
        <f>'prévisions hebdomadaires'!C32+"?g(!3m"</f>
        <v>#VALUE!</v>
      </c>
      <c r="DW5" t="e">
        <f>'prévisions hebdomadaires'!D32+"?g(!3n"</f>
        <v>#VALUE!</v>
      </c>
      <c r="DX5" t="e">
        <f>'prévisions hebdomadaires'!E32+"?g(!3o"</f>
        <v>#VALUE!</v>
      </c>
      <c r="DY5" t="e">
        <f>'prévisions hebdomadaires'!F32+"?g(!3p"</f>
        <v>#VALUE!</v>
      </c>
      <c r="DZ5" t="e">
        <f>'prévisions hebdomadaires'!G32+"?g(!3q"</f>
        <v>#VALUE!</v>
      </c>
      <c r="EA5" t="e">
        <f>'prévisions hebdomadaires'!H32+"?g(!3r"</f>
        <v>#VALUE!</v>
      </c>
      <c r="EB5" t="e">
        <f>'prévisions hebdomadaires'!B33+"?g(!3s"</f>
        <v>#VALUE!</v>
      </c>
      <c r="EC5" t="e">
        <f>'prévisions hebdomadaires'!C33+"?g(!3t"</f>
        <v>#VALUE!</v>
      </c>
      <c r="ED5" t="e">
        <f>'prévisions hebdomadaires'!D33+"?g(!3u"</f>
        <v>#VALUE!</v>
      </c>
      <c r="EE5" t="e">
        <f>'prévisions hebdomadaires'!E33+"?g(!3v"</f>
        <v>#VALUE!</v>
      </c>
      <c r="EF5" t="e">
        <f>'prévisions hebdomadaires'!F33+"?g(!3w"</f>
        <v>#VALUE!</v>
      </c>
      <c r="EG5" t="e">
        <f>'prévisions hebdomadaires'!G33+"?g(!3x"</f>
        <v>#VALUE!</v>
      </c>
      <c r="EH5" t="e">
        <f>'prévisions hebdomadaires'!H33+"?g(!3y"</f>
        <v>#VALUE!</v>
      </c>
      <c r="EI5" t="e">
        <f>'prévisions hebdomadaires'!B34+"?g(!3z"</f>
        <v>#VALUE!</v>
      </c>
      <c r="EJ5" t="e">
        <f>'prévisions hebdomadaires'!C34+"?g(!3{"</f>
        <v>#VALUE!</v>
      </c>
      <c r="EK5" t="e">
        <f>'prévisions hebdomadaires'!D34+"?g(!3|"</f>
        <v>#VALUE!</v>
      </c>
      <c r="EL5" t="e">
        <f>'prévisions hebdomadaires'!E34+"?g(!3}"</f>
        <v>#VALUE!</v>
      </c>
      <c r="EM5" t="e">
        <f>'prévisions hebdomadaires'!F34+"?g(!3~"</f>
        <v>#VALUE!</v>
      </c>
      <c r="EN5" t="e">
        <f>'prévisions hebdomadaires'!G34+"?g(!4#"</f>
        <v>#VALUE!</v>
      </c>
      <c r="EO5" t="e">
        <f>'prévisions hebdomadaires'!H34+"?g(!4$"</f>
        <v>#VALUE!</v>
      </c>
      <c r="EP5" t="e">
        <f>'prévisions hebdomadaires'!B35+"?g(!4%"</f>
        <v>#VALUE!</v>
      </c>
      <c r="EQ5" t="e">
        <f>'prévisions hebdomadaires'!C35+"?g(!4&amp;"</f>
        <v>#VALUE!</v>
      </c>
      <c r="ER5" t="e">
        <f>'prévisions hebdomadaires'!D35+"?g(!4'"</f>
        <v>#VALUE!</v>
      </c>
      <c r="ES5" t="e">
        <f>'prévisions hebdomadaires'!E35+"?g(!4("</f>
        <v>#VALUE!</v>
      </c>
      <c r="ET5" t="e">
        <f>'prévisions hebdomadaires'!F35+"?g(!4)"</f>
        <v>#VALUE!</v>
      </c>
      <c r="EU5" t="e">
        <f>'prévisions hebdomadaires'!G35+"?g(!4."</f>
        <v>#VALUE!</v>
      </c>
      <c r="EV5" t="e">
        <f>'prévisions hebdomadaires'!H35+"?g(!4/"</f>
        <v>#VALUE!</v>
      </c>
      <c r="EW5" t="e">
        <f>'prévisions hebdomadaires'!B36+"?g(!40"</f>
        <v>#VALUE!</v>
      </c>
      <c r="EX5" t="e">
        <f>'prévisions hebdomadaires'!C36+"?g(!41"</f>
        <v>#VALUE!</v>
      </c>
      <c r="EY5" t="e">
        <f>'prévisions hebdomadaires'!D36+"?g(!42"</f>
        <v>#VALUE!</v>
      </c>
      <c r="EZ5" t="e">
        <f>'prévisions hebdomadaires'!E36+"?g(!43"</f>
        <v>#VALUE!</v>
      </c>
      <c r="FA5" t="e">
        <f>'prévisions hebdomadaires'!F36+"?g(!44"</f>
        <v>#VALUE!</v>
      </c>
      <c r="FB5" t="e">
        <f>'prévisions hebdomadaires'!G36+"?g(!45"</f>
        <v>#VALUE!</v>
      </c>
      <c r="FC5" t="e">
        <f>'prévisions hebdomadaires'!H36+"?g(!46"</f>
        <v>#VALUE!</v>
      </c>
      <c r="FD5" t="e">
        <f>'prévisions hebdomadaires'!B37+"?g(!47"</f>
        <v>#VALUE!</v>
      </c>
      <c r="FE5" t="e">
        <f>'prévisions hebdomadaires'!C37+"?g(!48"</f>
        <v>#VALUE!</v>
      </c>
      <c r="FF5" t="e">
        <f>'prévisions hebdomadaires'!D37+"?g(!49"</f>
        <v>#VALUE!</v>
      </c>
      <c r="FG5" t="e">
        <f>'prévisions hebdomadaires'!E37+"?g(!4:"</f>
        <v>#VALUE!</v>
      </c>
      <c r="FH5" t="e">
        <f>'prévisions hebdomadaires'!F37+"?g(!4;"</f>
        <v>#VALUE!</v>
      </c>
      <c r="FI5" t="e">
        <f>'prévisions hebdomadaires'!G37+"?g(!4&lt;"</f>
        <v>#VALUE!</v>
      </c>
      <c r="FJ5" t="e">
        <f>'prévisions hebdomadaires'!H37+"?g(!4="</f>
        <v>#VALUE!</v>
      </c>
      <c r="FK5" t="e">
        <f>'prévisions hebdomadaires'!B38+"?g(!4&gt;"</f>
        <v>#VALUE!</v>
      </c>
      <c r="FL5" t="e">
        <f>'prévisions hebdomadaires'!C38+"?g(!4?"</f>
        <v>#VALUE!</v>
      </c>
      <c r="FM5" t="e">
        <f>'prévisions hebdomadaires'!D38+"?g(!4@"</f>
        <v>#VALUE!</v>
      </c>
      <c r="FN5" t="e">
        <f>'prévisions hebdomadaires'!E38+"?g(!4A"</f>
        <v>#VALUE!</v>
      </c>
      <c r="FO5" t="e">
        <f>'prévisions hebdomadaires'!F38+"?g(!4B"</f>
        <v>#VALUE!</v>
      </c>
      <c r="FP5" t="e">
        <f>'prévisions hebdomadaires'!G38+"?g(!4C"</f>
        <v>#VALUE!</v>
      </c>
      <c r="FQ5" t="e">
        <f>'prévisions hebdomadaires'!H38+"?g(!4D"</f>
        <v>#VALUE!</v>
      </c>
      <c r="FR5" t="e">
        <f>'prévisions hebdomadaires'!B39+"?g(!4E"</f>
        <v>#VALUE!</v>
      </c>
      <c r="FS5" t="e">
        <f>'prévisions hebdomadaires'!C39+"?g(!4F"</f>
        <v>#VALUE!</v>
      </c>
      <c r="FT5" t="e">
        <f>'prévisions hebdomadaires'!D39+"?g(!4G"</f>
        <v>#VALUE!</v>
      </c>
      <c r="FU5" t="e">
        <f>'prévisions hebdomadaires'!E39+"?g(!4H"</f>
        <v>#VALUE!</v>
      </c>
      <c r="FV5" t="e">
        <f>'prévisions hebdomadaires'!F39+"?g(!4I"</f>
        <v>#VALUE!</v>
      </c>
      <c r="FW5" t="e">
        <f>'prévisions hebdomadaires'!G39+"?g(!4J"</f>
        <v>#VALUE!</v>
      </c>
      <c r="FX5" t="e">
        <f>'prévisions hebdomadaires'!H39+"?g(!4K"</f>
        <v>#VALUE!</v>
      </c>
      <c r="FY5" t="e">
        <f>'prévisions hebdomadaires'!B40+"?g(!4L"</f>
        <v>#VALUE!</v>
      </c>
      <c r="FZ5" t="e">
        <f>'prévisions hebdomadaires'!C40+"?g(!4M"</f>
        <v>#VALUE!</v>
      </c>
      <c r="GA5" t="e">
        <f>'prévisions hebdomadaires'!D40+"?g(!4N"</f>
        <v>#VALUE!</v>
      </c>
      <c r="GB5" t="e">
        <f>'prévisions hebdomadaires'!E40+"?g(!4O"</f>
        <v>#VALUE!</v>
      </c>
      <c r="GC5" t="e">
        <f>'prévisions hebdomadaires'!F40+"?g(!4P"</f>
        <v>#VALUE!</v>
      </c>
      <c r="GD5" t="e">
        <f>'prévisions hebdomadaires'!G40+"?g(!4Q"</f>
        <v>#VALUE!</v>
      </c>
      <c r="GE5" t="e">
        <f>'prévisions hebdomadaires'!H40+"?g(!4R"</f>
        <v>#VALUE!</v>
      </c>
      <c r="GF5" t="e">
        <f>'prévisions hebdomadaires'!B41+"?g(!4S"</f>
        <v>#VALUE!</v>
      </c>
      <c r="GG5" t="e">
        <f>'prévisions hebdomadaires'!C41+"?g(!4T"</f>
        <v>#VALUE!</v>
      </c>
      <c r="GH5" t="e">
        <f>'prévisions hebdomadaires'!D41+"?g(!4U"</f>
        <v>#VALUE!</v>
      </c>
      <c r="GI5" t="e">
        <f>'prévisions hebdomadaires'!E41+"?g(!4V"</f>
        <v>#VALUE!</v>
      </c>
      <c r="GJ5" t="e">
        <f>'prévisions hebdomadaires'!F41+"?g(!4W"</f>
        <v>#VALUE!</v>
      </c>
      <c r="GK5" t="e">
        <f>'prévisions hebdomadaires'!G41+"?g(!4X"</f>
        <v>#VALUE!</v>
      </c>
      <c r="GL5" t="e">
        <f>'prévisions hebdomadaires'!H41+"?g(!4Y"</f>
        <v>#VALUE!</v>
      </c>
      <c r="GM5" t="e">
        <f>'prévisions hebdomadaires'!B42+"?g(!4Z"</f>
        <v>#VALUE!</v>
      </c>
      <c r="GN5" t="e">
        <f>'prévisions hebdomadaires'!C42+"?g(!4["</f>
        <v>#VALUE!</v>
      </c>
      <c r="GO5" t="e">
        <f>'prévisions hebdomadaires'!D42+"?g(!4\"</f>
        <v>#VALUE!</v>
      </c>
      <c r="GP5" t="e">
        <f>'prévisions hebdomadaires'!E42+"?g(!4]"</f>
        <v>#VALUE!</v>
      </c>
      <c r="GQ5" t="e">
        <f>'prévisions hebdomadaires'!F42+"?g(!4^"</f>
        <v>#VALUE!</v>
      </c>
      <c r="GR5" t="e">
        <f>'prévisions hebdomadaires'!G42+"?g(!4_"</f>
        <v>#VALUE!</v>
      </c>
      <c r="GS5" t="e">
        <f>'prévisions hebdomadaires'!H42+"?g(!4`"</f>
        <v>#VALUE!</v>
      </c>
      <c r="GT5" t="e">
        <f>'prévisions hebdomadaires'!B43+"?g(!4a"</f>
        <v>#VALUE!</v>
      </c>
      <c r="GU5" t="e">
        <f>'prévisions hebdomadaires'!C43+"?g(!4b"</f>
        <v>#VALUE!</v>
      </c>
      <c r="GV5" t="e">
        <f>'prévisions hebdomadaires'!D43+"?g(!4c"</f>
        <v>#VALUE!</v>
      </c>
      <c r="GW5" t="e">
        <f>'prévisions hebdomadaires'!E43+"?g(!4d"</f>
        <v>#VALUE!</v>
      </c>
      <c r="GX5" t="e">
        <f>'prévisions hebdomadaires'!F43+"?g(!4e"</f>
        <v>#VALUE!</v>
      </c>
      <c r="GY5" t="e">
        <f>'prévisions hebdomadaires'!G43+"?g(!4f"</f>
        <v>#VALUE!</v>
      </c>
      <c r="GZ5" t="e">
        <f>'prévisions hebdomadaires'!H43+"?g(!4g"</f>
        <v>#VALUE!</v>
      </c>
      <c r="HA5" t="e">
        <f>'prévisions hebdomadaires'!B44+"?g(!4h"</f>
        <v>#VALUE!</v>
      </c>
      <c r="HB5" t="e">
        <f>'prévisions hebdomadaires'!C44+"?g(!4i"</f>
        <v>#VALUE!</v>
      </c>
      <c r="HC5" t="e">
        <f>'prévisions hebdomadaires'!D44+"?g(!4j"</f>
        <v>#VALUE!</v>
      </c>
      <c r="HD5" t="e">
        <f>'prévisions hebdomadaires'!E44+"?g(!4k"</f>
        <v>#VALUE!</v>
      </c>
      <c r="HE5" t="e">
        <f>'prévisions hebdomadaires'!F44+"?g(!4l"</f>
        <v>#VALUE!</v>
      </c>
      <c r="HF5" t="e">
        <f>'prévisions hebdomadaires'!G44+"?g(!4m"</f>
        <v>#VALUE!</v>
      </c>
      <c r="HG5" t="e">
        <f>'prévisions hebdomadaires'!H44+"?g(!4n"</f>
        <v>#VALUE!</v>
      </c>
      <c r="HH5" t="e">
        <f>'prévisions hebdomadaires'!B45+"?g(!4o"</f>
        <v>#VALUE!</v>
      </c>
      <c r="HI5" t="e">
        <f>'prévisions hebdomadaires'!C45+"?g(!4p"</f>
        <v>#VALUE!</v>
      </c>
      <c r="HJ5" t="e">
        <f>'prévisions hebdomadaires'!D45+"?g(!4q"</f>
        <v>#VALUE!</v>
      </c>
      <c r="HK5" t="e">
        <f>'prévisions hebdomadaires'!E45+"?g(!4r"</f>
        <v>#VALUE!</v>
      </c>
      <c r="HL5" t="e">
        <f>'prévisions hebdomadaires'!F45+"?g(!4s"</f>
        <v>#VALUE!</v>
      </c>
      <c r="HM5" t="e">
        <f>'prévisions hebdomadaires'!G45+"?g(!4t"</f>
        <v>#VALUE!</v>
      </c>
      <c r="HN5" t="e">
        <f>'prévisions hebdomadaires'!H45+"?g(!4u"</f>
        <v>#VALUE!</v>
      </c>
      <c r="HO5" t="e">
        <f>'prévisions hebdomadaires'!B46+"?g(!4v"</f>
        <v>#VALUE!</v>
      </c>
      <c r="HP5" t="e">
        <f>'prévisions hebdomadaires'!C46+"?g(!4w"</f>
        <v>#VALUE!</v>
      </c>
      <c r="HQ5" t="e">
        <f>'prévisions hebdomadaires'!D46+"?g(!4x"</f>
        <v>#VALUE!</v>
      </c>
      <c r="HR5" t="e">
        <f>'prévisions hebdomadaires'!E46+"?g(!4y"</f>
        <v>#VALUE!</v>
      </c>
      <c r="HS5" t="e">
        <f>'prévisions hebdomadaires'!F46+"?g(!4z"</f>
        <v>#VALUE!</v>
      </c>
      <c r="HT5" t="e">
        <f>'prévisions hebdomadaires'!G46+"?g(!4{"</f>
        <v>#VALUE!</v>
      </c>
      <c r="HU5" t="e">
        <f>'prévisions hebdomadaires'!H46+"?g(!4|"</f>
        <v>#VALUE!</v>
      </c>
      <c r="HV5" t="e">
        <f>'prévisions hebdomadaires'!B47+"?g(!4}"</f>
        <v>#VALUE!</v>
      </c>
      <c r="HW5" t="e">
        <f>'prévisions hebdomadaires'!C47+"?g(!4~"</f>
        <v>#VALUE!</v>
      </c>
      <c r="HX5" t="e">
        <f>'prévisions hebdomadaires'!D47+"?g(!5#"</f>
        <v>#VALUE!</v>
      </c>
      <c r="HY5" t="e">
        <f>'prévisions hebdomadaires'!E47+"?g(!5$"</f>
        <v>#VALUE!</v>
      </c>
      <c r="HZ5" t="e">
        <f>'prévisions hebdomadaires'!F47+"?g(!5%"</f>
        <v>#VALUE!</v>
      </c>
      <c r="IA5" t="e">
        <f>'prévisions hebdomadaires'!G47+"?g(!5&amp;"</f>
        <v>#VALUE!</v>
      </c>
      <c r="IB5" t="e">
        <f>'prévisions hebdomadaires'!H47+"?g(!5'"</f>
        <v>#VALUE!</v>
      </c>
      <c r="IC5" t="e">
        <f>'prévisions hebdomadaires'!B48+"?g(!5("</f>
        <v>#VALUE!</v>
      </c>
      <c r="ID5" t="e">
        <f>'prévisions hebdomadaires'!C48+"?g(!5)"</f>
        <v>#VALUE!</v>
      </c>
      <c r="IE5" t="e">
        <f>'prévisions hebdomadaires'!D48+"?g(!5."</f>
        <v>#VALUE!</v>
      </c>
      <c r="IF5" t="e">
        <f>'prévisions hebdomadaires'!E48+"?g(!5/"</f>
        <v>#VALUE!</v>
      </c>
      <c r="IG5" t="e">
        <f>'prévisions hebdomadaires'!F48+"?g(!50"</f>
        <v>#VALUE!</v>
      </c>
      <c r="IH5" t="e">
        <f>'prévisions hebdomadaires'!G48+"?g(!51"</f>
        <v>#VALUE!</v>
      </c>
      <c r="II5" t="e">
        <f>'prévisions hebdomadaires'!H48+"?g(!52"</f>
        <v>#VALUE!</v>
      </c>
      <c r="IJ5" t="e">
        <f>'prévisions hebdomadaires'!B49+"?g(!53"</f>
        <v>#VALUE!</v>
      </c>
      <c r="IK5" t="e">
        <f>'prévisions hebdomadaires'!C49+"?g(!54"</f>
        <v>#VALUE!</v>
      </c>
      <c r="IL5" t="e">
        <f>'prévisions hebdomadaires'!D49+"?g(!55"</f>
        <v>#VALUE!</v>
      </c>
      <c r="IM5" t="e">
        <f>'prévisions hebdomadaires'!E49+"?g(!56"</f>
        <v>#VALUE!</v>
      </c>
      <c r="IN5" t="e">
        <f>'prévisions hebdomadaires'!F49+"?g(!57"</f>
        <v>#VALUE!</v>
      </c>
      <c r="IO5" t="e">
        <f>'prévisions hebdomadaires'!G49+"?g(!58"</f>
        <v>#VALUE!</v>
      </c>
      <c r="IP5" t="e">
        <f>'prévisions hebdomadaires'!H49+"?g(!59"</f>
        <v>#VALUE!</v>
      </c>
      <c r="IQ5" t="e">
        <f>'prévisions hebdomadaires'!B50+"?g(!5:"</f>
        <v>#VALUE!</v>
      </c>
      <c r="IR5" t="e">
        <f>'prévisions hebdomadaires'!C50+"?g(!5;"</f>
        <v>#VALUE!</v>
      </c>
      <c r="IS5" t="e">
        <f>'prévisions hebdomadaires'!D50+"?g(!5&lt;"</f>
        <v>#VALUE!</v>
      </c>
      <c r="IT5" t="e">
        <f>'prévisions hebdomadaires'!E50+"?g(!5="</f>
        <v>#VALUE!</v>
      </c>
      <c r="IU5" t="e">
        <f>'prévisions hebdomadaires'!F50+"?g(!5&gt;"</f>
        <v>#VALUE!</v>
      </c>
      <c r="IV5" t="e">
        <f>'prévisions hebdomadaires'!G50+"?g(!5?"</f>
        <v>#VALUE!</v>
      </c>
    </row>
    <row r="6" spans="1:256" x14ac:dyDescent="0.25">
      <c r="A6" t="s">
        <v>25</v>
      </c>
      <c r="F6" t="e">
        <f>'prévisions hebdomadaires'!H50+"?g(!5@"</f>
        <v>#VALUE!</v>
      </c>
      <c r="G6" t="e">
        <f>'prévisions hebdomadaires'!B51+"?g(!5A"</f>
        <v>#VALUE!</v>
      </c>
      <c r="H6" t="e">
        <f>'prévisions hebdomadaires'!C51+"?g(!5B"</f>
        <v>#VALUE!</v>
      </c>
      <c r="I6" t="e">
        <f>'prévisions hebdomadaires'!D51+"?g(!5C"</f>
        <v>#VALUE!</v>
      </c>
      <c r="J6" t="e">
        <f>'prévisions hebdomadaires'!E51+"?g(!5D"</f>
        <v>#VALUE!</v>
      </c>
      <c r="K6" t="e">
        <f>'prévisions hebdomadaires'!F51+"?g(!5E"</f>
        <v>#VALUE!</v>
      </c>
      <c r="L6" t="e">
        <f>'prévisions hebdomadaires'!G51+"?g(!5F"</f>
        <v>#VALUE!</v>
      </c>
      <c r="M6" t="e">
        <f>'prévisions hebdomadaires'!H51+"?g(!5G"</f>
        <v>#VALUE!</v>
      </c>
      <c r="N6" t="e">
        <f>'prévisions hebdomadaires'!B52+"?g(!5H"</f>
        <v>#VALUE!</v>
      </c>
      <c r="O6" t="e">
        <f>'prévisions hebdomadaires'!C52+"?g(!5I"</f>
        <v>#VALUE!</v>
      </c>
      <c r="P6" t="e">
        <f>'prévisions hebdomadaires'!D52+"?g(!5J"</f>
        <v>#VALUE!</v>
      </c>
      <c r="Q6" t="e">
        <f>'prévisions hebdomadaires'!E52+"?g(!5K"</f>
        <v>#VALUE!</v>
      </c>
      <c r="R6" t="e">
        <f>'prévisions hebdomadaires'!F52+"?g(!5L"</f>
        <v>#VALUE!</v>
      </c>
      <c r="S6" t="e">
        <f>'prévisions hebdomadaires'!G52+"?g(!5M"</f>
        <v>#VALUE!</v>
      </c>
      <c r="T6" t="e">
        <f>'prévisions hebdomadaires'!H52+"?g(!5N"</f>
        <v>#VALUE!</v>
      </c>
      <c r="U6" t="e">
        <f>'prévisions hebdomadaires'!B53+"?g(!5O"</f>
        <v>#VALUE!</v>
      </c>
      <c r="V6" t="e">
        <f>'prévisions hebdomadaires'!C53+"?g(!5P"</f>
        <v>#VALUE!</v>
      </c>
      <c r="W6" t="e">
        <f>'prévisions hebdomadaires'!D53+"?g(!5Q"</f>
        <v>#VALUE!</v>
      </c>
      <c r="X6" t="e">
        <f>'prévisions hebdomadaires'!E53+"?g(!5R"</f>
        <v>#VALUE!</v>
      </c>
      <c r="Y6" t="e">
        <f>'prévisions hebdomadaires'!F53+"?g(!5S"</f>
        <v>#VALUE!</v>
      </c>
      <c r="Z6" t="e">
        <f>'prévisions hebdomadaires'!G53+"?g(!5T"</f>
        <v>#VALUE!</v>
      </c>
      <c r="AA6" t="e">
        <f>'prévisions hebdomadaires'!H53+"?g(!5U"</f>
        <v>#VALUE!</v>
      </c>
      <c r="AB6" t="e">
        <f>'prévisions hebdomadaires'!B54+"?g(!5V"</f>
        <v>#VALUE!</v>
      </c>
      <c r="AC6" t="e">
        <f>'prévisions hebdomadaires'!C54+"?g(!5W"</f>
        <v>#VALUE!</v>
      </c>
      <c r="AD6" t="e">
        <f>'prévisions hebdomadaires'!D54+"?g(!5X"</f>
        <v>#VALUE!</v>
      </c>
      <c r="AE6" t="e">
        <f>'prévisions hebdomadaires'!E54+"?g(!5Y"</f>
        <v>#VALUE!</v>
      </c>
      <c r="AF6" t="e">
        <f>'prévisions hebdomadaires'!F54+"?g(!5Z"</f>
        <v>#VALUE!</v>
      </c>
      <c r="AG6" t="e">
        <f>'prévisions hebdomadaires'!G54+"?g(!5["</f>
        <v>#VALUE!</v>
      </c>
      <c r="AH6" t="e">
        <f>'prévisions hebdomadaires'!H54+"?g(!5\"</f>
        <v>#VALUE!</v>
      </c>
      <c r="AI6" t="e">
        <f>'prévisions hebdomadaires'!B55+"?g(!5]"</f>
        <v>#VALUE!</v>
      </c>
      <c r="AJ6" t="e">
        <f>'prévisions hebdomadaires'!C55+"?g(!5^"</f>
        <v>#VALUE!</v>
      </c>
      <c r="AK6" t="e">
        <f>'prévisions hebdomadaires'!D55+"?g(!5_"</f>
        <v>#VALUE!</v>
      </c>
      <c r="AL6" t="e">
        <f>'prévisions hebdomadaires'!E55+"?g(!5`"</f>
        <v>#VALUE!</v>
      </c>
      <c r="AM6" t="e">
        <f>'prévisions hebdomadaires'!F55+"?g(!5a"</f>
        <v>#VALUE!</v>
      </c>
      <c r="AN6" t="e">
        <f>'prévisions hebdomadaires'!G55+"?g(!5b"</f>
        <v>#VALUE!</v>
      </c>
      <c r="AO6" t="e">
        <f>'prévisions hebdomadaires'!H55+"?g(!5c"</f>
        <v>#VALUE!</v>
      </c>
      <c r="AP6" t="e">
        <f>'prévisions hebdomadaires'!B56+"?g(!5d"</f>
        <v>#VALUE!</v>
      </c>
      <c r="AQ6" t="e">
        <f>'prévisions hebdomadaires'!C56+"?g(!5e"</f>
        <v>#VALUE!</v>
      </c>
      <c r="AR6" t="e">
        <f>'prévisions hebdomadaires'!D56+"?g(!5f"</f>
        <v>#VALUE!</v>
      </c>
      <c r="AS6" t="e">
        <f>'prévisions hebdomadaires'!E56+"?g(!5g"</f>
        <v>#VALUE!</v>
      </c>
      <c r="AT6" t="e">
        <f>'prévisions hebdomadaires'!F56+"?g(!5h"</f>
        <v>#VALUE!</v>
      </c>
      <c r="AU6" t="e">
        <f>'prévisions hebdomadaires'!G56+"?g(!5i"</f>
        <v>#VALUE!</v>
      </c>
      <c r="AV6" t="e">
        <f>'prévisions hebdomadaires'!H56+"?g(!5j"</f>
        <v>#VALUE!</v>
      </c>
      <c r="AW6" t="e">
        <f>'prévisions hebdomadaires'!B57+"?g(!5k"</f>
        <v>#VALUE!</v>
      </c>
      <c r="AX6" t="e">
        <f>'prévisions hebdomadaires'!C57+"?g(!5l"</f>
        <v>#VALUE!</v>
      </c>
      <c r="AY6" t="e">
        <f>'prévisions hebdomadaires'!D57+"?g(!5m"</f>
        <v>#VALUE!</v>
      </c>
      <c r="AZ6" t="e">
        <f>'prévisions hebdomadaires'!E57+"?g(!5n"</f>
        <v>#VALUE!</v>
      </c>
      <c r="BA6" t="e">
        <f>'prévisions hebdomadaires'!F57+"?g(!5o"</f>
        <v>#VALUE!</v>
      </c>
      <c r="BB6" t="e">
        <f>'prévisions hebdomadaires'!G57+"?g(!5p"</f>
        <v>#VALUE!</v>
      </c>
      <c r="BC6" t="e">
        <f>'prévisions hebdomadaires'!H57+"?g(!5q"</f>
        <v>#VALUE!</v>
      </c>
      <c r="BD6" t="e">
        <f>'prévisions hebdomadaires'!B58+"?g(!5r"</f>
        <v>#VALUE!</v>
      </c>
      <c r="BE6" t="e">
        <f>'prévisions hebdomadaires'!C58+"?g(!5s"</f>
        <v>#VALUE!</v>
      </c>
      <c r="BF6" t="e">
        <f>'prévisions hebdomadaires'!D58+"?g(!5t"</f>
        <v>#VALUE!</v>
      </c>
      <c r="BG6" t="e">
        <f>'prévisions hebdomadaires'!E58+"?g(!5u"</f>
        <v>#VALUE!</v>
      </c>
      <c r="BH6" t="e">
        <f>'prévisions hebdomadaires'!F58+"?g(!5v"</f>
        <v>#VALUE!</v>
      </c>
      <c r="BI6" t="e">
        <f>'prévisions hebdomadaires'!G58+"?g(!5w"</f>
        <v>#VALUE!</v>
      </c>
      <c r="BJ6" t="e">
        <f>'prévisions hebdomadaires'!H58+"?g(!5x"</f>
        <v>#VALUE!</v>
      </c>
      <c r="BK6" t="e">
        <f>'prévisions hebdomadaires'!B59+"?g(!5y"</f>
        <v>#VALUE!</v>
      </c>
      <c r="BL6" t="e">
        <f>'prévisions hebdomadaires'!C59+"?g(!5z"</f>
        <v>#VALUE!</v>
      </c>
      <c r="BM6" t="e">
        <f>'prévisions hebdomadaires'!D59+"?g(!5{"</f>
        <v>#VALUE!</v>
      </c>
      <c r="BN6" t="e">
        <f>'prévisions hebdomadaires'!E59+"?g(!5|"</f>
        <v>#VALUE!</v>
      </c>
      <c r="BO6" t="e">
        <f>'prévisions hebdomadaires'!F59+"?g(!5}"</f>
        <v>#VALUE!</v>
      </c>
      <c r="BP6" t="e">
        <f>'prévisions hebdomadaires'!G59+"?g(!5~"</f>
        <v>#VALUE!</v>
      </c>
      <c r="BQ6" t="e">
        <f>'prévisions hebdomadaires'!H59+"?g(!6#"</f>
        <v>#VALUE!</v>
      </c>
      <c r="BR6" t="e">
        <f>'prévisions hebdomadaires'!B60+"?g(!6$"</f>
        <v>#VALUE!</v>
      </c>
      <c r="BS6" t="e">
        <f>'prévisions hebdomadaires'!C60+"?g(!6%"</f>
        <v>#VALUE!</v>
      </c>
      <c r="BT6" t="e">
        <f>'prévisions hebdomadaires'!D60+"?g(!6&amp;"</f>
        <v>#VALUE!</v>
      </c>
      <c r="BU6" t="e">
        <f>'prévisions hebdomadaires'!E60+"?g(!6'"</f>
        <v>#VALUE!</v>
      </c>
      <c r="BV6" t="e">
        <f>'prévisions hebdomadaires'!F60+"?g(!6("</f>
        <v>#VALUE!</v>
      </c>
      <c r="BW6" t="e">
        <f>'prévisions hebdomadaires'!G60+"?g(!6)"</f>
        <v>#VALUE!</v>
      </c>
      <c r="BX6" t="e">
        <f>'prévisions hebdomadaires'!H60+"?g(!6."</f>
        <v>#VALUE!</v>
      </c>
      <c r="BY6" t="e">
        <f>'prévisions hebdomadaires'!B61+"?g(!6/"</f>
        <v>#VALUE!</v>
      </c>
      <c r="BZ6" t="e">
        <f>'prévisions hebdomadaires'!C61+"?g(!60"</f>
        <v>#VALUE!</v>
      </c>
      <c r="CA6" t="e">
        <f>'prévisions hebdomadaires'!D61+"?g(!61"</f>
        <v>#VALUE!</v>
      </c>
      <c r="CB6" t="e">
        <f>'prévisions hebdomadaires'!E61+"?g(!62"</f>
        <v>#VALUE!</v>
      </c>
      <c r="CC6" t="e">
        <f>'prévisions hebdomadaires'!F61+"?g(!63"</f>
        <v>#VALUE!</v>
      </c>
      <c r="CD6" t="e">
        <f>'prévisions hebdomadaires'!G61+"?g(!64"</f>
        <v>#VALUE!</v>
      </c>
      <c r="CE6" t="e">
        <f>'prévisions hebdomadaires'!H61+"?g(!65"</f>
        <v>#VALUE!</v>
      </c>
      <c r="CF6" t="e">
        <f>'prévisions hebdomadaires'!B62+"?g(!66"</f>
        <v>#VALUE!</v>
      </c>
      <c r="CG6" t="e">
        <f>'prévisions hebdomadaires'!C62+"?g(!67"</f>
        <v>#VALUE!</v>
      </c>
      <c r="CH6" t="e">
        <f>'prévisions hebdomadaires'!D62+"?g(!68"</f>
        <v>#VALUE!</v>
      </c>
      <c r="CI6" t="e">
        <f>'prévisions hebdomadaires'!E62+"?g(!69"</f>
        <v>#VALUE!</v>
      </c>
      <c r="CJ6" t="e">
        <f>'prévisions hebdomadaires'!F62+"?g(!6:"</f>
        <v>#VALUE!</v>
      </c>
      <c r="CK6" t="e">
        <f>'prévisions hebdomadaires'!G62+"?g(!6;"</f>
        <v>#VALUE!</v>
      </c>
      <c r="CL6" t="e">
        <f>'prévisions hebdomadaires'!H62+"?g(!6&lt;"</f>
        <v>#VALUE!</v>
      </c>
      <c r="CM6" t="e">
        <f>'prévisions hebdomadaires'!B63+"?g(!6="</f>
        <v>#VALUE!</v>
      </c>
      <c r="CN6" t="e">
        <f>'prévisions hebdomadaires'!C63+"?g(!6&gt;"</f>
        <v>#VALUE!</v>
      </c>
      <c r="CO6" t="e">
        <f>'prévisions hebdomadaires'!D63+"?g(!6?"</f>
        <v>#VALUE!</v>
      </c>
      <c r="CP6" t="e">
        <f>'prévisions hebdomadaires'!E63+"?g(!6@"</f>
        <v>#VALUE!</v>
      </c>
      <c r="CQ6" t="e">
        <f>'prévisions hebdomadaires'!F63+"?g(!6A"</f>
        <v>#VALUE!</v>
      </c>
      <c r="CR6" t="e">
        <f>'prévisions hebdomadaires'!G63+"?g(!6B"</f>
        <v>#VALUE!</v>
      </c>
      <c r="CS6" t="e">
        <f>'prévisions hebdomadaires'!H63+"?g(!6C"</f>
        <v>#VALUE!</v>
      </c>
      <c r="CT6" t="e">
        <f>'prévisions hebdomadaires'!B64+"?g(!6D"</f>
        <v>#VALUE!</v>
      </c>
      <c r="CU6" t="e">
        <f>'prévisions hebdomadaires'!C64+"?g(!6E"</f>
        <v>#VALUE!</v>
      </c>
      <c r="CV6" t="e">
        <f>'prévisions hebdomadaires'!D64+"?g(!6F"</f>
        <v>#VALUE!</v>
      </c>
      <c r="CW6" t="e">
        <f>'prévisions hebdomadaires'!E64+"?g(!6G"</f>
        <v>#VALUE!</v>
      </c>
      <c r="CX6" t="e">
        <f>'prévisions hebdomadaires'!F64+"?g(!6H"</f>
        <v>#VALUE!</v>
      </c>
      <c r="CY6" t="e">
        <f>'prévisions hebdomadaires'!G64+"?g(!6I"</f>
        <v>#VALUE!</v>
      </c>
      <c r="CZ6" t="e">
        <f>'prévisions hebdomadaires'!H64+"?g(!6J"</f>
        <v>#VALUE!</v>
      </c>
      <c r="DA6" t="e">
        <f>'prévisions hebdomadaires'!B65+"?g(!6K"</f>
        <v>#VALUE!</v>
      </c>
      <c r="DB6" t="e">
        <f>'prévisions hebdomadaires'!C65+"?g(!6L"</f>
        <v>#VALUE!</v>
      </c>
      <c r="DC6" t="e">
        <f>'prévisions hebdomadaires'!D65+"?g(!6M"</f>
        <v>#VALUE!</v>
      </c>
      <c r="DD6" t="e">
        <f>'prévisions hebdomadaires'!E65+"?g(!6N"</f>
        <v>#VALUE!</v>
      </c>
      <c r="DE6" t="e">
        <f>'prévisions hebdomadaires'!F65+"?g(!6O"</f>
        <v>#VALUE!</v>
      </c>
      <c r="DF6" t="e">
        <f>'prévisions hebdomadaires'!G65+"?g(!6P"</f>
        <v>#VALUE!</v>
      </c>
      <c r="DG6" t="e">
        <f>'prévisions hebdomadaires'!H65+"?g(!6Q"</f>
        <v>#VALUE!</v>
      </c>
      <c r="DH6" t="e">
        <f>'prévisions hebdomadaires'!B66+"?g(!6R"</f>
        <v>#VALUE!</v>
      </c>
      <c r="DI6" t="e">
        <f>'prévisions hebdomadaires'!C66+"?g(!6S"</f>
        <v>#VALUE!</v>
      </c>
      <c r="DJ6" t="e">
        <f>'prévisions hebdomadaires'!D66+"?g(!6T"</f>
        <v>#VALUE!</v>
      </c>
      <c r="DK6" t="e">
        <f>'prévisions hebdomadaires'!E66+"?g(!6U"</f>
        <v>#VALUE!</v>
      </c>
      <c r="DL6" t="e">
        <f>'prévisions hebdomadaires'!F66+"?g(!6V"</f>
        <v>#VALUE!</v>
      </c>
      <c r="DM6" t="e">
        <f>'prévisions hebdomadaires'!G66+"?g(!6W"</f>
        <v>#VALUE!</v>
      </c>
      <c r="DN6" t="e">
        <f>'prévisions hebdomadaires'!H66+"?g(!6X"</f>
        <v>#VALUE!</v>
      </c>
      <c r="DO6" t="e">
        <f>'prévisions hebdomadaires'!B67+"?g(!6Y"</f>
        <v>#VALUE!</v>
      </c>
      <c r="DP6" t="e">
        <f>'prévisions hebdomadaires'!C67+"?g(!6Z"</f>
        <v>#VALUE!</v>
      </c>
      <c r="DQ6" t="e">
        <f>'prévisions hebdomadaires'!D67+"?g(!6["</f>
        <v>#VALUE!</v>
      </c>
      <c r="DR6" t="e">
        <f>'prévisions hebdomadaires'!E67+"?g(!6\"</f>
        <v>#VALUE!</v>
      </c>
      <c r="DS6" t="e">
        <f>'prévisions hebdomadaires'!F67+"?g(!6]"</f>
        <v>#VALUE!</v>
      </c>
      <c r="DT6" t="e">
        <f>'prévisions hebdomadaires'!G67+"?g(!6^"</f>
        <v>#VALUE!</v>
      </c>
      <c r="DU6" t="e">
        <f>'prévisions hebdomadaires'!H67+"?g(!6_"</f>
        <v>#VALUE!</v>
      </c>
      <c r="DV6" t="e">
        <f>'prévisions hebdomadaires'!B68+"?g(!6`"</f>
        <v>#VALUE!</v>
      </c>
      <c r="DW6" t="e">
        <f>'prévisions hebdomadaires'!C68+"?g(!6a"</f>
        <v>#VALUE!</v>
      </c>
      <c r="DX6" t="e">
        <f>'prévisions hebdomadaires'!D68+"?g(!6b"</f>
        <v>#VALUE!</v>
      </c>
      <c r="DY6" t="e">
        <f>'prévisions hebdomadaires'!E68+"?g(!6c"</f>
        <v>#VALUE!</v>
      </c>
      <c r="DZ6" t="e">
        <f>'prévisions hebdomadaires'!F68+"?g(!6d"</f>
        <v>#VALUE!</v>
      </c>
      <c r="EA6" t="e">
        <f>'prévisions hebdomadaires'!G68+"?g(!6e"</f>
        <v>#VALUE!</v>
      </c>
      <c r="EB6" t="e">
        <f>'prévisions hebdomadaires'!H68+"?g(!6f"</f>
        <v>#VALUE!</v>
      </c>
      <c r="EC6" t="e">
        <f>'prévisions hebdomadaires'!B69+"?g(!6g"</f>
        <v>#VALUE!</v>
      </c>
      <c r="ED6" t="e">
        <f>'prévisions hebdomadaires'!C69+"?g(!6h"</f>
        <v>#VALUE!</v>
      </c>
      <c r="EE6" t="e">
        <f>'prévisions hebdomadaires'!D69+"?g(!6i"</f>
        <v>#VALUE!</v>
      </c>
      <c r="EF6" t="e">
        <f>'prévisions hebdomadaires'!E69+"?g(!6j"</f>
        <v>#VALUE!</v>
      </c>
      <c r="EG6" t="e">
        <f>'prévisions hebdomadaires'!F69+"?g(!6k"</f>
        <v>#VALUE!</v>
      </c>
      <c r="EH6" t="e">
        <f>'prévisions hebdomadaires'!G69+"?g(!6l"</f>
        <v>#VALUE!</v>
      </c>
      <c r="EI6" t="e">
        <f>'prévisions hebdomadaires'!H69+"?g(!6m"</f>
        <v>#VALUE!</v>
      </c>
      <c r="EJ6" t="e">
        <f>'prévisions hebdomadaires'!B70+"?g(!6n"</f>
        <v>#VALUE!</v>
      </c>
      <c r="EK6" t="e">
        <f>'prévisions hebdomadaires'!C70+"?g(!6o"</f>
        <v>#VALUE!</v>
      </c>
      <c r="EL6" t="e">
        <f>'prévisions hebdomadaires'!D70+"?g(!6p"</f>
        <v>#VALUE!</v>
      </c>
      <c r="EM6" t="e">
        <f>'prévisions hebdomadaires'!E70+"?g(!6q"</f>
        <v>#VALUE!</v>
      </c>
      <c r="EN6" t="e">
        <f>'prévisions hebdomadaires'!F70+"?g(!6r"</f>
        <v>#VALUE!</v>
      </c>
      <c r="EO6" t="e">
        <f>'prévisions hebdomadaires'!G70+"?g(!6s"</f>
        <v>#VALUE!</v>
      </c>
      <c r="EP6" t="e">
        <f>'prévisions hebdomadaires'!H70+"?g(!6t"</f>
        <v>#VALUE!</v>
      </c>
      <c r="EQ6" t="e">
        <f>'prévisions hebdomadaires'!B71+"?g(!6u"</f>
        <v>#VALUE!</v>
      </c>
      <c r="ER6" t="e">
        <f>'prévisions hebdomadaires'!C71+"?g(!6v"</f>
        <v>#VALUE!</v>
      </c>
      <c r="ES6" t="e">
        <f>'prévisions hebdomadaires'!D71+"?g(!6w"</f>
        <v>#VALUE!</v>
      </c>
      <c r="ET6" t="e">
        <f>'prévisions hebdomadaires'!E71+"?g(!6x"</f>
        <v>#VALUE!</v>
      </c>
      <c r="EU6" t="e">
        <f>'prévisions hebdomadaires'!F71+"?g(!6y"</f>
        <v>#VALUE!</v>
      </c>
      <c r="EV6" t="e">
        <f>'prévisions hebdomadaires'!G71+"?g(!6z"</f>
        <v>#VALUE!</v>
      </c>
      <c r="EW6" t="e">
        <f>'prévisions hebdomadaires'!H71+"?g(!6{"</f>
        <v>#VALUE!</v>
      </c>
      <c r="EX6" t="e">
        <f>'prévisions hebdomadaires'!B72+"?g(!6|"</f>
        <v>#VALUE!</v>
      </c>
      <c r="EY6" t="e">
        <f>'prévisions hebdomadaires'!C72+"?g(!6}"</f>
        <v>#VALUE!</v>
      </c>
      <c r="EZ6" t="e">
        <f>'prévisions hebdomadaires'!D72+"?g(!6~"</f>
        <v>#VALUE!</v>
      </c>
      <c r="FA6" t="e">
        <f>'prévisions hebdomadaires'!E72+"?g(!7#"</f>
        <v>#VALUE!</v>
      </c>
      <c r="FB6" t="e">
        <f>'prévisions hebdomadaires'!F72+"?g(!7$"</f>
        <v>#VALUE!</v>
      </c>
      <c r="FC6" t="e">
        <f>'prévisions hebdomadaires'!G72+"?g(!7%"</f>
        <v>#VALUE!</v>
      </c>
      <c r="FD6" t="e">
        <f>'prévisions hebdomadaires'!H72+"?g(!7&amp;"</f>
        <v>#VALUE!</v>
      </c>
      <c r="FE6" t="e">
        <f>'prévisions hebdomadaires'!B73+"?g(!7'"</f>
        <v>#VALUE!</v>
      </c>
      <c r="FF6" t="e">
        <f>'prévisions hebdomadaires'!C73+"?g(!7("</f>
        <v>#VALUE!</v>
      </c>
      <c r="FG6" t="e">
        <f>'prévisions hebdomadaires'!D73+"?g(!7)"</f>
        <v>#VALUE!</v>
      </c>
      <c r="FH6" t="e">
        <f>'prévisions hebdomadaires'!E73+"?g(!7."</f>
        <v>#VALUE!</v>
      </c>
      <c r="FI6" t="e">
        <f>'prévisions hebdomadaires'!F73+"?g(!7/"</f>
        <v>#VALUE!</v>
      </c>
      <c r="FJ6" t="e">
        <f>'prévisions hebdomadaires'!G73+"?g(!70"</f>
        <v>#VALUE!</v>
      </c>
      <c r="FK6" t="e">
        <f>'prévisions hebdomadaires'!H73+"?g(!71"</f>
        <v>#VALUE!</v>
      </c>
      <c r="FL6" t="e">
        <f>'prévisions hebdomadaires'!B74+"?g(!72"</f>
        <v>#VALUE!</v>
      </c>
      <c r="FM6" t="e">
        <f>'prévisions hebdomadaires'!C74+"?g(!73"</f>
        <v>#VALUE!</v>
      </c>
      <c r="FN6" t="e">
        <f>'prévisions hebdomadaires'!D74+"?g(!74"</f>
        <v>#VALUE!</v>
      </c>
      <c r="FO6" t="e">
        <f>'prévisions hebdomadaires'!E74+"?g(!75"</f>
        <v>#VALUE!</v>
      </c>
      <c r="FP6" t="e">
        <f>'prévisions hebdomadaires'!F74+"?g(!76"</f>
        <v>#VALUE!</v>
      </c>
      <c r="FQ6" t="e">
        <f>'prévisions hebdomadaires'!G74+"?g(!77"</f>
        <v>#VALUE!</v>
      </c>
      <c r="FR6" t="e">
        <f>'prévisions hebdomadaires'!H74+"?g(!78"</f>
        <v>#VALUE!</v>
      </c>
      <c r="FS6" t="e">
        <f>'prévisions hebdomadaires'!B75+"?g(!79"</f>
        <v>#VALUE!</v>
      </c>
      <c r="FT6" t="e">
        <f>'prévisions hebdomadaires'!C75+"?g(!7:"</f>
        <v>#VALUE!</v>
      </c>
      <c r="FU6" t="e">
        <f>'prévisions hebdomadaires'!D75+"?g(!7;"</f>
        <v>#VALUE!</v>
      </c>
      <c r="FV6" t="e">
        <f>'prévisions hebdomadaires'!E75+"?g(!7&lt;"</f>
        <v>#VALUE!</v>
      </c>
      <c r="FW6" t="e">
        <f>'prévisions hebdomadaires'!F75+"?g(!7="</f>
        <v>#VALUE!</v>
      </c>
      <c r="FX6" t="e">
        <f>'prévisions hebdomadaires'!G75+"?g(!7&gt;"</f>
        <v>#VALUE!</v>
      </c>
      <c r="FY6" t="e">
        <f>'prévisions hebdomadaires'!H75+"?g(!7?"</f>
        <v>#VALUE!</v>
      </c>
      <c r="FZ6" t="e">
        <f>'prévisions hebdomadaires'!B76+"?g(!7@"</f>
        <v>#VALUE!</v>
      </c>
      <c r="GA6" t="e">
        <f>'prévisions hebdomadaires'!C76+"?g(!7A"</f>
        <v>#VALUE!</v>
      </c>
      <c r="GB6" t="e">
        <f>'prévisions hebdomadaires'!D76+"?g(!7B"</f>
        <v>#VALUE!</v>
      </c>
      <c r="GC6" t="e">
        <f>'prévisions hebdomadaires'!E76+"?g(!7C"</f>
        <v>#VALUE!</v>
      </c>
      <c r="GD6" t="e">
        <f>'prévisions hebdomadaires'!F76+"?g(!7D"</f>
        <v>#VALUE!</v>
      </c>
      <c r="GE6" t="e">
        <f>'prévisions hebdomadaires'!G76+"?g(!7E"</f>
        <v>#VALUE!</v>
      </c>
      <c r="GF6" t="e">
        <f>'prévisions hebdomadaires'!H76+"?g(!7F"</f>
        <v>#VALUE!</v>
      </c>
      <c r="GG6" t="e">
        <f>'prévisions hebdomadaires'!B77+"?g(!7G"</f>
        <v>#VALUE!</v>
      </c>
      <c r="GH6" t="e">
        <f>'prévisions hebdomadaires'!C77+"?g(!7H"</f>
        <v>#VALUE!</v>
      </c>
      <c r="GI6" t="e">
        <f>'prévisions hebdomadaires'!D77+"?g(!7I"</f>
        <v>#VALUE!</v>
      </c>
      <c r="GJ6" t="e">
        <f>'prévisions hebdomadaires'!E77+"?g(!7J"</f>
        <v>#VALUE!</v>
      </c>
      <c r="GK6" t="e">
        <f>'prévisions hebdomadaires'!F77+"?g(!7K"</f>
        <v>#VALUE!</v>
      </c>
      <c r="GL6" t="e">
        <f>'prévisions hebdomadaires'!G77+"?g(!7L"</f>
        <v>#VALUE!</v>
      </c>
      <c r="GM6" t="e">
        <f>'prévisions hebdomadaires'!H77+"?g(!7M"</f>
        <v>#VALUE!</v>
      </c>
      <c r="GN6" t="e">
        <f>'prévisions hebdomadaires'!B78+"?g(!7N"</f>
        <v>#VALUE!</v>
      </c>
      <c r="GO6" t="e">
        <f>'prévisions hebdomadaires'!C78+"?g(!7O"</f>
        <v>#VALUE!</v>
      </c>
      <c r="GP6" t="e">
        <f>'prévisions hebdomadaires'!D78+"?g(!7P"</f>
        <v>#VALUE!</v>
      </c>
      <c r="GQ6" t="e">
        <f>'prévisions hebdomadaires'!E78+"?g(!7Q"</f>
        <v>#VALUE!</v>
      </c>
      <c r="GR6" t="e">
        <f>'prévisions hebdomadaires'!F78+"?g(!7R"</f>
        <v>#VALUE!</v>
      </c>
      <c r="GS6" t="e">
        <f>'prévisions hebdomadaires'!G78+"?g(!7S"</f>
        <v>#VALUE!</v>
      </c>
      <c r="GT6" t="e">
        <f>'prévisions hebdomadaires'!H78+"?g(!7T"</f>
        <v>#VALUE!</v>
      </c>
      <c r="GU6" t="e">
        <f>'prévisions hebdomadaires'!B79+"?g(!7U"</f>
        <v>#VALUE!</v>
      </c>
      <c r="GV6" t="e">
        <f>'prévisions hebdomadaires'!C79+"?g(!7V"</f>
        <v>#VALUE!</v>
      </c>
      <c r="GW6" t="e">
        <f>'prévisions hebdomadaires'!D79+"?g(!7W"</f>
        <v>#VALUE!</v>
      </c>
      <c r="GX6" t="e">
        <f>'prévisions hebdomadaires'!E79+"?g(!7X"</f>
        <v>#VALUE!</v>
      </c>
      <c r="GY6" t="e">
        <f>'prévisions hebdomadaires'!F79+"?g(!7Y"</f>
        <v>#VALUE!</v>
      </c>
      <c r="GZ6" t="e">
        <f>'prévisions hebdomadaires'!G79+"?g(!7Z"</f>
        <v>#VALUE!</v>
      </c>
      <c r="HA6" t="e">
        <f>'prévisions hebdomadaires'!H79+"?g(!7["</f>
        <v>#VALUE!</v>
      </c>
      <c r="HB6" t="e">
        <f>'prévisions hebdomadaires'!B80+"?g(!7\"</f>
        <v>#VALUE!</v>
      </c>
      <c r="HC6" t="e">
        <f>'prévisions hebdomadaires'!C80+"?g(!7]"</f>
        <v>#VALUE!</v>
      </c>
      <c r="HD6" t="e">
        <f>'prévisions hebdomadaires'!D80+"?g(!7^"</f>
        <v>#VALUE!</v>
      </c>
      <c r="HE6" t="e">
        <f>'prévisions hebdomadaires'!E80+"?g(!7_"</f>
        <v>#VALUE!</v>
      </c>
      <c r="HF6" t="e">
        <f>'prévisions hebdomadaires'!F80+"?g(!7`"</f>
        <v>#VALUE!</v>
      </c>
      <c r="HG6" t="e">
        <f>'prévisions hebdomadaires'!G80+"?g(!7a"</f>
        <v>#VALUE!</v>
      </c>
      <c r="HH6" t="e">
        <f>'prévisions hebdomadaires'!H80+"?g(!7b"</f>
        <v>#VALUE!</v>
      </c>
      <c r="HI6" t="e">
        <f>'prévisions hebdomadaires'!B81+"?g(!7c"</f>
        <v>#VALUE!</v>
      </c>
      <c r="HJ6" t="e">
        <f>'prévisions hebdomadaires'!C81+"?g(!7d"</f>
        <v>#VALUE!</v>
      </c>
      <c r="HK6" t="e">
        <f>'prévisions hebdomadaires'!D81+"?g(!7e"</f>
        <v>#VALUE!</v>
      </c>
      <c r="HL6" t="e">
        <f>'prévisions hebdomadaires'!E81+"?g(!7f"</f>
        <v>#VALUE!</v>
      </c>
      <c r="HM6" t="e">
        <f>'prévisions hebdomadaires'!F81+"?g(!7g"</f>
        <v>#VALUE!</v>
      </c>
      <c r="HN6" t="e">
        <f>'prévisions hebdomadaires'!G81+"?g(!7h"</f>
        <v>#VALUE!</v>
      </c>
      <c r="HO6" t="e">
        <f>'prévisions hebdomadaires'!H81+"?g(!7i"</f>
        <v>#VALUE!</v>
      </c>
      <c r="HP6" t="e">
        <f>'prévisions hebdomadaires'!B82+"?g(!7j"</f>
        <v>#VALUE!</v>
      </c>
      <c r="HQ6" t="e">
        <f>'prévisions hebdomadaires'!C82+"?g(!7k"</f>
        <v>#VALUE!</v>
      </c>
      <c r="HR6" t="e">
        <f>'prévisions hebdomadaires'!D82+"?g(!7l"</f>
        <v>#VALUE!</v>
      </c>
      <c r="HS6" t="e">
        <f>'prévisions hebdomadaires'!E82+"?g(!7m"</f>
        <v>#VALUE!</v>
      </c>
      <c r="HT6" t="e">
        <f>'prévisions hebdomadaires'!F82+"?g(!7n"</f>
        <v>#VALUE!</v>
      </c>
      <c r="HU6" t="e">
        <f>'prévisions hebdomadaires'!G82+"?g(!7o"</f>
        <v>#VALUE!</v>
      </c>
      <c r="HV6" t="e">
        <f>'prévisions hebdomadaires'!H82+"?g(!7p"</f>
        <v>#VALUE!</v>
      </c>
      <c r="HW6" t="e">
        <f>'prévisions hebdomadaires'!B83+"?g(!7q"</f>
        <v>#VALUE!</v>
      </c>
      <c r="HX6" t="e">
        <f>'prévisions hebdomadaires'!C83+"?g(!7r"</f>
        <v>#VALUE!</v>
      </c>
      <c r="HY6" t="e">
        <f>'prévisions hebdomadaires'!D83+"?g(!7s"</f>
        <v>#VALUE!</v>
      </c>
      <c r="HZ6" t="e">
        <f>'prévisions hebdomadaires'!E83+"?g(!7t"</f>
        <v>#VALUE!</v>
      </c>
      <c r="IA6" t="e">
        <f>'prévisions hebdomadaires'!F83+"?g(!7u"</f>
        <v>#VALUE!</v>
      </c>
      <c r="IB6" t="e">
        <f>'prévisions hebdomadaires'!G83+"?g(!7v"</f>
        <v>#VALUE!</v>
      </c>
      <c r="IC6" t="e">
        <f>'prévisions hebdomadaires'!H83+"?g(!7w"</f>
        <v>#VALUE!</v>
      </c>
      <c r="ID6" t="e">
        <f>'prévisions hebdomadaires'!B84+"?g(!7x"</f>
        <v>#VALUE!</v>
      </c>
      <c r="IE6" t="e">
        <f>'prévisions hebdomadaires'!C84+"?g(!7y"</f>
        <v>#VALUE!</v>
      </c>
      <c r="IF6" t="e">
        <f>'prévisions hebdomadaires'!D84+"?g(!7z"</f>
        <v>#VALUE!</v>
      </c>
      <c r="IG6" t="e">
        <f>'prévisions hebdomadaires'!E84+"?g(!7{"</f>
        <v>#VALUE!</v>
      </c>
      <c r="IH6" t="e">
        <f>'prévisions hebdomadaires'!F84+"?g(!7|"</f>
        <v>#VALUE!</v>
      </c>
      <c r="II6" t="e">
        <f>'prévisions hebdomadaires'!G84+"?g(!7}"</f>
        <v>#VALUE!</v>
      </c>
      <c r="IJ6" t="e">
        <f>'prévisions hebdomadaires'!H84+"?g(!7~"</f>
        <v>#VALUE!</v>
      </c>
      <c r="IK6" t="e">
        <f>'prévisions hebdomadaires'!B85+"?g(!8#"</f>
        <v>#VALUE!</v>
      </c>
      <c r="IL6" t="e">
        <f>'prévisions hebdomadaires'!C85+"?g(!8$"</f>
        <v>#VALUE!</v>
      </c>
      <c r="IM6" t="e">
        <f>'prévisions hebdomadaires'!D85+"?g(!8%"</f>
        <v>#VALUE!</v>
      </c>
      <c r="IN6" t="e">
        <f>'prévisions hebdomadaires'!E85+"?g(!8&amp;"</f>
        <v>#VALUE!</v>
      </c>
      <c r="IO6" t="e">
        <f>'prévisions hebdomadaires'!F85+"?g(!8'"</f>
        <v>#VALUE!</v>
      </c>
      <c r="IP6" t="e">
        <f>'prévisions hebdomadaires'!G85+"?g(!8("</f>
        <v>#VALUE!</v>
      </c>
      <c r="IQ6" t="e">
        <f>'prévisions hebdomadaires'!H85+"?g(!8)"</f>
        <v>#VALUE!</v>
      </c>
      <c r="IR6" t="e">
        <f>'prévisions hebdomadaires'!B86+"?g(!8."</f>
        <v>#VALUE!</v>
      </c>
      <c r="IS6" t="e">
        <f>'prévisions hebdomadaires'!C86+"?g(!8/"</f>
        <v>#VALUE!</v>
      </c>
      <c r="IT6" t="e">
        <f>'prévisions hebdomadaires'!D86+"?g(!80"</f>
        <v>#VALUE!</v>
      </c>
      <c r="IU6" t="e">
        <f>'prévisions hebdomadaires'!E86+"?g(!81"</f>
        <v>#VALUE!</v>
      </c>
      <c r="IV6" t="e">
        <f>'prévisions hebdomadaires'!F86+"?g(!82"</f>
        <v>#VALUE!</v>
      </c>
    </row>
    <row r="7" spans="1:256" x14ac:dyDescent="0.25">
      <c r="A7" t="s">
        <v>26</v>
      </c>
      <c r="F7" t="e">
        <f>'prévisions hebdomadaires'!G86+"?g(!83"</f>
        <v>#VALUE!</v>
      </c>
      <c r="G7" t="e">
        <f>'prévisions hebdomadaires'!H86+"?g(!84"</f>
        <v>#VALUE!</v>
      </c>
      <c r="H7" t="e">
        <f>'prévisions hebdomadaires'!B87+"?g(!85"</f>
        <v>#VALUE!</v>
      </c>
      <c r="I7" t="e">
        <f>'prévisions hebdomadaires'!C87+"?g(!86"</f>
        <v>#VALUE!</v>
      </c>
      <c r="J7" t="e">
        <f>'prévisions hebdomadaires'!D87+"?g(!87"</f>
        <v>#VALUE!</v>
      </c>
      <c r="K7" t="e">
        <f>'prévisions hebdomadaires'!E87+"?g(!88"</f>
        <v>#VALUE!</v>
      </c>
      <c r="L7" t="e">
        <f>'prévisions hebdomadaires'!F87+"?g(!89"</f>
        <v>#VALUE!</v>
      </c>
      <c r="M7" t="e">
        <f>'prévisions hebdomadaires'!G87+"?g(!8:"</f>
        <v>#VALUE!</v>
      </c>
      <c r="N7" t="e">
        <f>'prévisions hebdomadaires'!H87+"?g(!8;"</f>
        <v>#VALUE!</v>
      </c>
      <c r="O7" t="e">
        <f>'prévisions hebdomadaires'!B88+"?g(!8&lt;"</f>
        <v>#VALUE!</v>
      </c>
      <c r="P7" t="e">
        <f>'prévisions hebdomadaires'!C88+"?g(!8="</f>
        <v>#VALUE!</v>
      </c>
      <c r="Q7" t="e">
        <f>'prévisions hebdomadaires'!D88+"?g(!8&gt;"</f>
        <v>#VALUE!</v>
      </c>
      <c r="R7" t="e">
        <f>'prévisions hebdomadaires'!E88+"?g(!8?"</f>
        <v>#VALUE!</v>
      </c>
      <c r="S7" t="e">
        <f>'prévisions hebdomadaires'!F88+"?g(!8@"</f>
        <v>#VALUE!</v>
      </c>
      <c r="T7" t="e">
        <f>'prévisions hebdomadaires'!G88+"?g(!8A"</f>
        <v>#VALUE!</v>
      </c>
      <c r="U7" t="e">
        <f>'prévisions hebdomadaires'!H88+"?g(!8B"</f>
        <v>#VALUE!</v>
      </c>
      <c r="V7" t="e">
        <f>'prévisions hebdomadaires'!B89+"?g(!8C"</f>
        <v>#VALUE!</v>
      </c>
      <c r="W7" t="e">
        <f>'prévisions hebdomadaires'!C89+"?g(!8D"</f>
        <v>#VALUE!</v>
      </c>
      <c r="X7" t="e">
        <f>'prévisions hebdomadaires'!D89+"?g(!8E"</f>
        <v>#VALUE!</v>
      </c>
      <c r="Y7" t="e">
        <f>'prévisions hebdomadaires'!E89+"?g(!8F"</f>
        <v>#VALUE!</v>
      </c>
      <c r="Z7" t="e">
        <f>'prévisions hebdomadaires'!F89+"?g(!8G"</f>
        <v>#VALUE!</v>
      </c>
      <c r="AA7" t="e">
        <f>'prévisions hebdomadaires'!G89+"?g(!8H"</f>
        <v>#VALUE!</v>
      </c>
      <c r="AB7" t="e">
        <f>'prévisions hebdomadaires'!H89+"?g(!8I"</f>
        <v>#VALUE!</v>
      </c>
      <c r="AC7" t="e">
        <f>'prévisions hebdomadaires'!B90+"?g(!8J"</f>
        <v>#VALUE!</v>
      </c>
      <c r="AD7" t="e">
        <f>'prévisions hebdomadaires'!C90+"?g(!8K"</f>
        <v>#VALUE!</v>
      </c>
      <c r="AE7" t="e">
        <f>'prévisions hebdomadaires'!D90+"?g(!8L"</f>
        <v>#VALUE!</v>
      </c>
      <c r="AF7" t="e">
        <f>'prévisions hebdomadaires'!E90+"?g(!8M"</f>
        <v>#VALUE!</v>
      </c>
      <c r="AG7" t="e">
        <f>'prévisions hebdomadaires'!F90+"?g(!8N"</f>
        <v>#VALUE!</v>
      </c>
      <c r="AH7" t="e">
        <f>'prévisions hebdomadaires'!G90+"?g(!8O"</f>
        <v>#VALUE!</v>
      </c>
      <c r="AI7" t="e">
        <f>'prévisions hebdomadaires'!H90+"?g(!8P"</f>
        <v>#VALUE!</v>
      </c>
      <c r="AJ7" t="e">
        <f>'prévisions hebdomadaires'!B91+"?g(!8Q"</f>
        <v>#VALUE!</v>
      </c>
      <c r="AK7" t="e">
        <f>'prévisions hebdomadaires'!C91+"?g(!8R"</f>
        <v>#VALUE!</v>
      </c>
      <c r="AL7" t="e">
        <f>'prévisions hebdomadaires'!D91+"?g(!8S"</f>
        <v>#VALUE!</v>
      </c>
      <c r="AM7" t="e">
        <f>'prévisions hebdomadaires'!E91+"?g(!8T"</f>
        <v>#VALUE!</v>
      </c>
      <c r="AN7" t="e">
        <f>'prévisions hebdomadaires'!F91+"?g(!8U"</f>
        <v>#VALUE!</v>
      </c>
      <c r="AO7" t="e">
        <f>'prévisions hebdomadaires'!G91+"?g(!8V"</f>
        <v>#VALUE!</v>
      </c>
      <c r="AP7" t="e">
        <f>'prévisions hebdomadaires'!H91+"?g(!8W"</f>
        <v>#VALUE!</v>
      </c>
      <c r="AQ7" t="e">
        <f>'prévisions hebdomadaires'!B92+"?g(!8X"</f>
        <v>#VALUE!</v>
      </c>
      <c r="AR7" t="e">
        <f>'prévisions hebdomadaires'!C92+"?g(!8Y"</f>
        <v>#VALUE!</v>
      </c>
      <c r="AS7" t="e">
        <f>'prévisions hebdomadaires'!D92+"?g(!8Z"</f>
        <v>#VALUE!</v>
      </c>
      <c r="AT7" t="e">
        <f>'prévisions hebdomadaires'!E92+"?g(!8["</f>
        <v>#VALUE!</v>
      </c>
      <c r="AU7" t="e">
        <f>'prévisions hebdomadaires'!F92+"?g(!8\"</f>
        <v>#VALUE!</v>
      </c>
      <c r="AV7" t="e">
        <f>'prévisions hebdomadaires'!G92+"?g(!8]"</f>
        <v>#VALUE!</v>
      </c>
      <c r="AW7" t="e">
        <f>'prévisions hebdomadaires'!H92+"?g(!8^"</f>
        <v>#VALUE!</v>
      </c>
      <c r="AX7" t="e">
        <f>'prévisions hebdomadaires'!B93+"?g(!8_"</f>
        <v>#VALUE!</v>
      </c>
      <c r="AY7" t="e">
        <f>'prévisions hebdomadaires'!C93+"?g(!8`"</f>
        <v>#VALUE!</v>
      </c>
      <c r="AZ7" t="e">
        <f>'prévisions hebdomadaires'!D93+"?g(!8a"</f>
        <v>#VALUE!</v>
      </c>
      <c r="BA7" t="e">
        <f>'prévisions hebdomadaires'!E93+"?g(!8b"</f>
        <v>#VALUE!</v>
      </c>
      <c r="BB7" t="e">
        <f>'prévisions hebdomadaires'!F93+"?g(!8c"</f>
        <v>#VALUE!</v>
      </c>
      <c r="BC7" t="e">
        <f>'prévisions hebdomadaires'!G93+"?g(!8d"</f>
        <v>#VALUE!</v>
      </c>
      <c r="BD7" t="e">
        <f>'prévisions hebdomadaires'!H93+"?g(!8e"</f>
        <v>#VALUE!</v>
      </c>
      <c r="BE7" t="e">
        <f>'prévisions hebdomadaires'!B94+"?g(!8f"</f>
        <v>#VALUE!</v>
      </c>
      <c r="BF7" t="e">
        <f>'prévisions hebdomadaires'!C94+"?g(!8g"</f>
        <v>#VALUE!</v>
      </c>
      <c r="BG7" t="e">
        <f>'prévisions hebdomadaires'!D94+"?g(!8h"</f>
        <v>#VALUE!</v>
      </c>
      <c r="BH7" t="e">
        <f>'prévisions hebdomadaires'!E94+"?g(!8i"</f>
        <v>#VALUE!</v>
      </c>
      <c r="BI7" t="e">
        <f>'prévisions hebdomadaires'!F94+"?g(!8j"</f>
        <v>#VALUE!</v>
      </c>
      <c r="BJ7" t="e">
        <f>'prévisions hebdomadaires'!G94+"?g(!8k"</f>
        <v>#VALUE!</v>
      </c>
      <c r="BK7" t="e">
        <f>'prévisions hebdomadaires'!H94+"?g(!8l"</f>
        <v>#VALUE!</v>
      </c>
      <c r="BL7" t="e">
        <f>'prévisions hebdomadaires'!B95+"?g(!8m"</f>
        <v>#VALUE!</v>
      </c>
      <c r="BM7" t="e">
        <f>'prévisions hebdomadaires'!C95+"?g(!8n"</f>
        <v>#VALUE!</v>
      </c>
      <c r="BN7" t="e">
        <f>'prévisions hebdomadaires'!D95+"?g(!8o"</f>
        <v>#VALUE!</v>
      </c>
      <c r="BO7" t="e">
        <f>'prévisions hebdomadaires'!E95+"?g(!8p"</f>
        <v>#VALUE!</v>
      </c>
      <c r="BP7" t="e">
        <f>'prévisions hebdomadaires'!F95+"?g(!8q"</f>
        <v>#VALUE!</v>
      </c>
      <c r="BQ7" t="e">
        <f>'prévisions hebdomadaires'!G95+"?g(!8r"</f>
        <v>#VALUE!</v>
      </c>
      <c r="BR7" t="e">
        <f>'prévisions hebdomadaires'!H95+"?g(!8s"</f>
        <v>#VALUE!</v>
      </c>
      <c r="BS7" t="e">
        <f>'prévisions hebdomadaires'!B96+"?g(!8t"</f>
        <v>#VALUE!</v>
      </c>
      <c r="BT7" t="e">
        <f>'prévisions hebdomadaires'!C96+"?g(!8u"</f>
        <v>#VALUE!</v>
      </c>
      <c r="BU7" t="e">
        <f>'prévisions hebdomadaires'!D96+"?g(!8v"</f>
        <v>#VALUE!</v>
      </c>
      <c r="BV7" t="e">
        <f>'prévisions hebdomadaires'!E96+"?g(!8w"</f>
        <v>#VALUE!</v>
      </c>
      <c r="BW7" t="e">
        <f>'prévisions hebdomadaires'!F96+"?g(!8x"</f>
        <v>#VALUE!</v>
      </c>
      <c r="BX7" t="e">
        <f>'prévisions hebdomadaires'!G96+"?g(!8y"</f>
        <v>#VALUE!</v>
      </c>
      <c r="BY7" t="e">
        <f>'prévisions hebdomadaires'!H96+"?g(!8z"</f>
        <v>#VALUE!</v>
      </c>
      <c r="BZ7" t="e">
        <f>'prévisions hebdomadaires'!B97+"?g(!8{"</f>
        <v>#VALUE!</v>
      </c>
      <c r="CA7" t="e">
        <f>'prévisions hebdomadaires'!C97+"?g(!8|"</f>
        <v>#VALUE!</v>
      </c>
      <c r="CB7" t="e">
        <f>'prévisions hebdomadaires'!D97+"?g(!8}"</f>
        <v>#VALUE!</v>
      </c>
      <c r="CC7" t="e">
        <f>'prévisions hebdomadaires'!E97+"?g(!8~"</f>
        <v>#VALUE!</v>
      </c>
      <c r="CD7" t="e">
        <f>'prévisions hebdomadaires'!F97+"?g(!9#"</f>
        <v>#VALUE!</v>
      </c>
      <c r="CE7" t="e">
        <f>'prévisions hebdomadaires'!G97+"?g(!9$"</f>
        <v>#VALUE!</v>
      </c>
      <c r="CF7" t="e">
        <f>'prévisions hebdomadaires'!H97+"?g(!9%"</f>
        <v>#VALUE!</v>
      </c>
      <c r="CG7" t="e">
        <f>'prévisions hebdomadaires'!B98+"?g(!9&amp;"</f>
        <v>#VALUE!</v>
      </c>
      <c r="CH7" t="e">
        <f>'prévisions hebdomadaires'!C98+"?g(!9'"</f>
        <v>#VALUE!</v>
      </c>
      <c r="CI7" t="e">
        <f>'prévisions hebdomadaires'!D98+"?g(!9("</f>
        <v>#VALUE!</v>
      </c>
      <c r="CJ7" t="e">
        <f>'prévisions hebdomadaires'!E98+"?g(!9)"</f>
        <v>#VALUE!</v>
      </c>
      <c r="CK7" t="e">
        <f>'prévisions hebdomadaires'!F98+"?g(!9."</f>
        <v>#VALUE!</v>
      </c>
      <c r="CL7" t="e">
        <f>'prévisions hebdomadaires'!G98+"?g(!9/"</f>
        <v>#VALUE!</v>
      </c>
      <c r="CM7" t="e">
        <f>'prévisions hebdomadaires'!H98+"?g(!90"</f>
        <v>#VALUE!</v>
      </c>
      <c r="CN7" t="e">
        <f>'prévisions hebdomadaires'!B99+"?g(!91"</f>
        <v>#VALUE!</v>
      </c>
      <c r="CO7" t="e">
        <f>'prévisions hebdomadaires'!C99+"?g(!92"</f>
        <v>#VALUE!</v>
      </c>
      <c r="CP7" t="e">
        <f>'prévisions hebdomadaires'!D99+"?g(!93"</f>
        <v>#VALUE!</v>
      </c>
      <c r="CQ7" t="e">
        <f>'prévisions hebdomadaires'!E99+"?g(!94"</f>
        <v>#VALUE!</v>
      </c>
      <c r="CR7" t="e">
        <f>'prévisions hebdomadaires'!F99+"?g(!95"</f>
        <v>#VALUE!</v>
      </c>
      <c r="CS7" t="e">
        <f>'prévisions hebdomadaires'!G99+"?g(!96"</f>
        <v>#VALUE!</v>
      </c>
      <c r="CT7" t="e">
        <f>'prévisions hebdomadaires'!H99+"?g(!97"</f>
        <v>#VALUE!</v>
      </c>
      <c r="CU7" t="e">
        <f>'prévisions hebdomadaires'!B100+"?g(!98"</f>
        <v>#VALUE!</v>
      </c>
      <c r="CV7" t="e">
        <f>'prévisions hebdomadaires'!C100+"?g(!99"</f>
        <v>#VALUE!</v>
      </c>
      <c r="CW7" t="e">
        <f>'prévisions hebdomadaires'!D100+"?g(!9:"</f>
        <v>#VALUE!</v>
      </c>
      <c r="CX7" t="e">
        <f>'prévisions hebdomadaires'!E100+"?g(!9;"</f>
        <v>#VALUE!</v>
      </c>
      <c r="CY7" t="e">
        <f>'prévisions hebdomadaires'!F100+"?g(!9&lt;"</f>
        <v>#VALUE!</v>
      </c>
      <c r="CZ7" t="e">
        <f>'prévisions hebdomadaires'!G100+"?g(!9="</f>
        <v>#VALUE!</v>
      </c>
      <c r="DA7" t="e">
        <f>'prévisions hebdomadaires'!H100+"?g(!9&gt;"</f>
        <v>#VALUE!</v>
      </c>
      <c r="DB7" t="e">
        <f>'prévisions hebdomadaires'!B101+"?g(!9?"</f>
        <v>#VALUE!</v>
      </c>
      <c r="DC7" t="e">
        <f>'prévisions hebdomadaires'!C101+"?g(!9@"</f>
        <v>#VALUE!</v>
      </c>
      <c r="DD7" t="e">
        <f>'prévisions hebdomadaires'!D101+"?g(!9A"</f>
        <v>#VALUE!</v>
      </c>
      <c r="DE7" t="e">
        <f>'prévisions hebdomadaires'!E101+"?g(!9B"</f>
        <v>#VALUE!</v>
      </c>
      <c r="DF7" t="e">
        <f>'prévisions hebdomadaires'!F101+"?g(!9C"</f>
        <v>#VALUE!</v>
      </c>
      <c r="DG7" t="e">
        <f>'prévisions hebdomadaires'!G101+"?g(!9D"</f>
        <v>#VALUE!</v>
      </c>
      <c r="DH7" t="e">
        <f>'prévisions hebdomadaires'!H101+"?g(!9E"</f>
        <v>#VALUE!</v>
      </c>
      <c r="DI7" t="e">
        <f>'prévisions hebdomadaires'!B102+"?g(!9F"</f>
        <v>#VALUE!</v>
      </c>
      <c r="DJ7" t="e">
        <f>'prévisions hebdomadaires'!C102+"?g(!9G"</f>
        <v>#VALUE!</v>
      </c>
      <c r="DK7" t="e">
        <f>'prévisions hebdomadaires'!D102+"?g(!9H"</f>
        <v>#VALUE!</v>
      </c>
      <c r="DL7" t="e">
        <f>'prévisions hebdomadaires'!E102+"?g(!9I"</f>
        <v>#VALUE!</v>
      </c>
      <c r="DM7" t="e">
        <f>'prévisions hebdomadaires'!F102+"?g(!9J"</f>
        <v>#VALUE!</v>
      </c>
      <c r="DN7" t="e">
        <f>'prévisions hebdomadaires'!G102+"?g(!9K"</f>
        <v>#VALUE!</v>
      </c>
      <c r="DO7" t="e">
        <f>'prévisions hebdomadaires'!H102+"?g(!9L"</f>
        <v>#VALUE!</v>
      </c>
      <c r="DP7" t="e">
        <f>'prévisions hebdomadaires'!B103+"?g(!9M"</f>
        <v>#VALUE!</v>
      </c>
      <c r="DQ7" t="e">
        <f>'prévisions hebdomadaires'!C103+"?g(!9N"</f>
        <v>#VALUE!</v>
      </c>
      <c r="DR7" t="e">
        <f>'prévisions hebdomadaires'!D103+"?g(!9O"</f>
        <v>#VALUE!</v>
      </c>
      <c r="DS7" t="e">
        <f>'prévisions hebdomadaires'!E103+"?g(!9P"</f>
        <v>#VALUE!</v>
      </c>
      <c r="DT7" t="e">
        <f>'prévisions hebdomadaires'!F103+"?g(!9Q"</f>
        <v>#VALUE!</v>
      </c>
      <c r="DU7" t="e">
        <f>'prévisions hebdomadaires'!G103+"?g(!9R"</f>
        <v>#VALUE!</v>
      </c>
      <c r="DV7" t="e">
        <f>'prévisions hebdomadaires'!H103+"?g(!9S"</f>
        <v>#VALUE!</v>
      </c>
      <c r="DW7" t="e">
        <f>'prévisions hebdomadaires'!B104+"?g(!9T"</f>
        <v>#VALUE!</v>
      </c>
      <c r="DX7" t="e">
        <f>'prévisions hebdomadaires'!C104+"?g(!9U"</f>
        <v>#VALUE!</v>
      </c>
      <c r="DY7" t="e">
        <f>'prévisions hebdomadaires'!D104+"?g(!9V"</f>
        <v>#VALUE!</v>
      </c>
      <c r="DZ7" t="e">
        <f>'prévisions hebdomadaires'!E104+"?g(!9W"</f>
        <v>#VALUE!</v>
      </c>
      <c r="EA7" t="e">
        <f>'prévisions hebdomadaires'!F104+"?g(!9X"</f>
        <v>#VALUE!</v>
      </c>
      <c r="EB7" t="e">
        <f>'prévisions hebdomadaires'!G104+"?g(!9Y"</f>
        <v>#VALUE!</v>
      </c>
      <c r="EC7" t="e">
        <f>'prévisions hebdomadaires'!H104+"?g(!9Z"</f>
        <v>#VALUE!</v>
      </c>
      <c r="ED7" t="e">
        <f>'prévisions hebdomadaires'!B105+"?g(!9["</f>
        <v>#VALUE!</v>
      </c>
      <c r="EE7" t="e">
        <f>'prévisions hebdomadaires'!C105+"?g(!9\"</f>
        <v>#VALUE!</v>
      </c>
      <c r="EF7" t="e">
        <f>'prévisions hebdomadaires'!D105+"?g(!9]"</f>
        <v>#VALUE!</v>
      </c>
      <c r="EG7" t="e">
        <f>'prévisions hebdomadaires'!E105+"?g(!9^"</f>
        <v>#VALUE!</v>
      </c>
      <c r="EH7" t="e">
        <f>'prévisions hebdomadaires'!F105+"?g(!9_"</f>
        <v>#VALUE!</v>
      </c>
      <c r="EI7" t="e">
        <f>'prévisions hebdomadaires'!G105+"?g(!9`"</f>
        <v>#VALUE!</v>
      </c>
      <c r="EJ7" t="e">
        <f>'prévisions hebdomadaires'!H105+"?g(!9a"</f>
        <v>#VALUE!</v>
      </c>
      <c r="EK7" t="e">
        <f>'prévisions hebdomadaires'!B106+"?g(!9b"</f>
        <v>#VALUE!</v>
      </c>
      <c r="EL7" t="e">
        <f>'prévisions hebdomadaires'!C106+"?g(!9c"</f>
        <v>#VALUE!</v>
      </c>
      <c r="EM7" t="e">
        <f>'prévisions hebdomadaires'!D106+"?g(!9d"</f>
        <v>#VALUE!</v>
      </c>
      <c r="EN7" t="e">
        <f>'prévisions hebdomadaires'!E106+"?g(!9e"</f>
        <v>#VALUE!</v>
      </c>
      <c r="EO7" t="e">
        <f>'prévisions hebdomadaires'!F106+"?g(!9f"</f>
        <v>#VALUE!</v>
      </c>
      <c r="EP7" t="e">
        <f>'prévisions hebdomadaires'!G106+"?g(!9g"</f>
        <v>#VALUE!</v>
      </c>
      <c r="EQ7" t="e">
        <f>'prévisions hebdomadaires'!H106+"?g(!9h"</f>
        <v>#VALUE!</v>
      </c>
      <c r="ER7" t="e">
        <f>'prévisions hebdomadaires'!B107+"?g(!9i"</f>
        <v>#VALUE!</v>
      </c>
      <c r="ES7" t="e">
        <f>'prévisions hebdomadaires'!C107+"?g(!9j"</f>
        <v>#VALUE!</v>
      </c>
      <c r="ET7" t="e">
        <f>'prévisions hebdomadaires'!D107+"?g(!9k"</f>
        <v>#VALUE!</v>
      </c>
      <c r="EU7" t="e">
        <f>'prévisions hebdomadaires'!E107+"?g(!9l"</f>
        <v>#VALUE!</v>
      </c>
      <c r="EV7" t="e">
        <f>'prévisions hebdomadaires'!F107+"?g(!9m"</f>
        <v>#VALUE!</v>
      </c>
      <c r="EW7" t="e">
        <f>'prévisions hebdomadaires'!G107+"?g(!9n"</f>
        <v>#VALUE!</v>
      </c>
      <c r="EX7" t="e">
        <f>'prévisions hebdomadaires'!H107+"?g(!9o"</f>
        <v>#VALUE!</v>
      </c>
      <c r="EY7" t="e">
        <f>'prévisions hebdomadaires'!B108+"?g(!9p"</f>
        <v>#VALUE!</v>
      </c>
      <c r="EZ7" t="e">
        <f>'prévisions hebdomadaires'!C108+"?g(!9q"</f>
        <v>#VALUE!</v>
      </c>
      <c r="FA7" t="e">
        <f>'prévisions hebdomadaires'!D108+"?g(!9r"</f>
        <v>#VALUE!</v>
      </c>
      <c r="FB7" t="e">
        <f>'prévisions hebdomadaires'!E108+"?g(!9s"</f>
        <v>#VALUE!</v>
      </c>
      <c r="FC7" t="e">
        <f>'prévisions hebdomadaires'!F108+"?g(!9t"</f>
        <v>#VALUE!</v>
      </c>
      <c r="FD7" t="e">
        <f>'prévisions hebdomadaires'!G108+"?g(!9u"</f>
        <v>#VALUE!</v>
      </c>
      <c r="FE7" t="e">
        <f>'prévisions hebdomadaires'!H108+"?g(!9v"</f>
        <v>#VALUE!</v>
      </c>
      <c r="FF7" t="e">
        <f>'prévisions hebdomadaires'!B109+"?g(!9w"</f>
        <v>#VALUE!</v>
      </c>
      <c r="FG7" t="e">
        <f>'prévisions hebdomadaires'!C109+"?g(!9x"</f>
        <v>#VALUE!</v>
      </c>
      <c r="FH7" t="e">
        <f>'prévisions hebdomadaires'!D109+"?g(!9y"</f>
        <v>#VALUE!</v>
      </c>
      <c r="FI7" t="e">
        <f>'prévisions hebdomadaires'!E109+"?g(!9z"</f>
        <v>#VALUE!</v>
      </c>
      <c r="FJ7" t="e">
        <f>'prévisions hebdomadaires'!F109+"?g(!9{"</f>
        <v>#VALUE!</v>
      </c>
      <c r="FK7" t="e">
        <f>'prévisions hebdomadaires'!G109+"?g(!9|"</f>
        <v>#VALUE!</v>
      </c>
      <c r="FL7" t="e">
        <f>'prévisions hebdomadaires'!H109+"?g(!9}"</f>
        <v>#VALUE!</v>
      </c>
      <c r="FM7" t="e">
        <f>'prévisions hebdomadaires'!B110+"?g(!9~"</f>
        <v>#VALUE!</v>
      </c>
      <c r="FN7" t="e">
        <f>'prévisions hebdomadaires'!C110+"?g(!:#"</f>
        <v>#VALUE!</v>
      </c>
      <c r="FO7" t="e">
        <f>'prévisions hebdomadaires'!D110+"?g(!:$"</f>
        <v>#VALUE!</v>
      </c>
      <c r="FP7" t="e">
        <f>'prévisions hebdomadaires'!E110+"?g(!:%"</f>
        <v>#VALUE!</v>
      </c>
      <c r="FQ7" t="e">
        <f>'prévisions hebdomadaires'!F110+"?g(!:&amp;"</f>
        <v>#VALUE!</v>
      </c>
      <c r="FR7" t="e">
        <f>'prévisions hebdomadaires'!G110+"?g(!:'"</f>
        <v>#VALUE!</v>
      </c>
      <c r="FS7" t="e">
        <f>'prévisions hebdomadaires'!H110+"?g(!:("</f>
        <v>#VALUE!</v>
      </c>
      <c r="FT7" t="e">
        <f>'prévisions hebdomadaires'!B111+"?g(!:)"</f>
        <v>#VALUE!</v>
      </c>
      <c r="FU7" t="e">
        <f>'prévisions hebdomadaires'!C111+"?g(!:."</f>
        <v>#VALUE!</v>
      </c>
      <c r="FV7" t="e">
        <f>'prévisions hebdomadaires'!D111+"?g(!:/"</f>
        <v>#VALUE!</v>
      </c>
      <c r="FW7" t="e">
        <f>'prévisions hebdomadaires'!E111+"?g(!:0"</f>
        <v>#VALUE!</v>
      </c>
      <c r="FX7" t="e">
        <f>'prévisions hebdomadaires'!F111+"?g(!:1"</f>
        <v>#VALUE!</v>
      </c>
      <c r="FY7" t="e">
        <f>'prévisions hebdomadaires'!G111+"?g(!:2"</f>
        <v>#VALUE!</v>
      </c>
      <c r="FZ7" t="e">
        <f>'prévisions hebdomadaires'!H111+"?g(!:3"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6" ma:contentTypeDescription="Crée un document." ma:contentTypeScope="" ma:versionID="1c49bf6e139bc271e33004ab44354b3b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6b50744734d32d82f461583e43719cab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250EE9D0-AEA0-4293-8705-8C105AAFFB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8C92A1-443F-4ED0-9836-BC8433A8FEBB}"/>
</file>

<file path=customXml/itemProps3.xml><?xml version="1.0" encoding="utf-8"?>
<ds:datastoreItem xmlns:ds="http://schemas.openxmlformats.org/officeDocument/2006/customXml" ds:itemID="{580493BF-EDF1-416B-96A7-FABCE9139D95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2023-07-19T16:19:42Z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UpdateToken">
    <vt:lpwstr>4</vt:lpwstr>
  </property>
  <property fmtid="{D5CDD505-2E9C-101B-9397-08002B2CF9AE}" pid="3" name="Offisync_UniqueId">
    <vt:lpwstr>1079303</vt:lpwstr>
  </property>
  <property fmtid="{D5CDD505-2E9C-101B-9397-08002B2CF9AE}" pid="4" name="Jive_LatestUserAccountName">
    <vt:lpwstr>mira.boufarah@orange.com</vt:lpwstr>
  </property>
  <property fmtid="{D5CDD505-2E9C-101B-9397-08002B2CF9AE}" pid="5" name="Jive_VersionGuid">
    <vt:lpwstr>b3a7a8e615664a8cb3361a009fc44a91</vt:lpwstr>
  </property>
  <property fmtid="{D5CDD505-2E9C-101B-9397-08002B2CF9AE}" pid="6" name="Offisync_ProviderInitializationData">
    <vt:lpwstr>https://plazza.orange.com/</vt:lpwstr>
  </property>
  <property fmtid="{D5CDD505-2E9C-101B-9397-08002B2CF9AE}" pid="7" name="Offisync_ServerID">
    <vt:lpwstr>1abe28f6-4eb5-42e6-bbff-1356c852cf7b</vt:lpwstr>
  </property>
  <property fmtid="{D5CDD505-2E9C-101B-9397-08002B2CF9AE}" pid="8" name="Jive_PrevVersionNumber">
    <vt:lpwstr>3</vt:lpwstr>
  </property>
  <property fmtid="{D5CDD505-2E9C-101B-9397-08002B2CF9AE}" pid="9" name="Jive_VersionGuid_v2.5">
    <vt:lpwstr>0f80569ea5a54bfcb25f2402437aff24</vt:lpwstr>
  </property>
  <property fmtid="{D5CDD505-2E9C-101B-9397-08002B2CF9AE}" pid="10" name="Jive_LatestFileFullName">
    <vt:lpwstr>bbf7fa770a72fd2b5146f866d32e7968</vt:lpwstr>
  </property>
  <property fmtid="{D5CDD505-2E9C-101B-9397-08002B2CF9AE}" pid="11" name="Jive_ModifiedButNotPublished">
    <vt:lpwstr>False</vt:lpwstr>
  </property>
  <property fmtid="{D5CDD505-2E9C-101B-9397-08002B2CF9AE}" pid="12" name="ContentTypeId">
    <vt:lpwstr>0x0101006DBAD82D2BE66242B9E848AC08CBAD11</vt:lpwstr>
  </property>
  <property fmtid="{D5CDD505-2E9C-101B-9397-08002B2CF9AE}" pid="13" name="MediaServiceImageTags">
    <vt:lpwstr/>
  </property>
</Properties>
</file>